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andredomingues/Library/CloudStorage/Dropbox/_utfpr/_especializacao/planilha_financeira/"/>
    </mc:Choice>
  </mc:AlternateContent>
  <xr:revisionPtr revIDLastSave="0" documentId="13_ncr:1_{F17C434C-78F8-F04E-B5A3-A2E663E0A8C0}" xr6:coauthVersionLast="47" xr6:coauthVersionMax="47" xr10:uidLastSave="{00000000-0000-0000-0000-000000000000}"/>
  <workbookProtection lockStructure="1"/>
  <bookViews>
    <workbookView xWindow="0" yWindow="500" windowWidth="27680" windowHeight="15660" tabRatio="500" xr2:uid="{00000000-000D-0000-FFFF-FFFF00000000}"/>
  </bookViews>
  <sheets>
    <sheet name="Custo do Curso" sheetId="1" r:id="rId1"/>
    <sheet name="Servidores" sheetId="3" r:id="rId2"/>
    <sheet name="Serviços - PF" sheetId="4" r:id="rId3"/>
    <sheet name="Serviços - PJ" sheetId="5" r:id="rId4"/>
    <sheet name="Investimento" sheetId="6" r:id="rId5"/>
    <sheet name="Diárias e Passagens" sheetId="7" r:id="rId6"/>
    <sheet name="Material de Consumo" sheetId="8" r:id="rId7"/>
    <sheet name="Estagiários" sheetId="9" r:id="rId8"/>
    <sheet name="Bolsas" sheetId="15" r:id="rId9"/>
    <sheet name="Cronograma" sheetId="11" r:id="rId10"/>
    <sheet name="Migrantes" sheetId="17" r:id="rId11"/>
    <sheet name="Descontos" sheetId="18" r:id="rId12"/>
    <sheet name="Valores Referenciais" sheetId="12" r:id="rId13"/>
    <sheet name="Investimento - especificação" sheetId="14" r:id="rId14"/>
    <sheet name="Consumo - especificação" sheetId="13" r:id="rId15"/>
  </sheets>
  <definedNames>
    <definedName name="_xlnm.Print_Area" localSheetId="8">Bolsas!$A$2:$C$12</definedName>
    <definedName name="_xlnm.Print_Area" localSheetId="14">'Consumo - especificação'!$B$1:$D$30</definedName>
    <definedName name="_xlnm.Print_Area" localSheetId="9">Cronograma!$B$1:$AC$51</definedName>
    <definedName name="_xlnm.Print_Area" localSheetId="0">'Custo do Curso'!$A$1:$H$49</definedName>
    <definedName name="_xlnm.Print_Area" localSheetId="11">Descontos!$A$1:$C$16</definedName>
    <definedName name="_xlnm.Print_Area" localSheetId="5">'Diárias e Passagens'!$A$2:$E$15</definedName>
    <definedName name="_xlnm.Print_Area" localSheetId="7">Estagiários!$A$2:$J$13</definedName>
    <definedName name="_xlnm.Print_Area" localSheetId="4">Investimento!$A$2:$E$31</definedName>
    <definedName name="_xlnm.Print_Area" localSheetId="13">'Investimento - especificação'!$B$1:$D$53</definedName>
    <definedName name="_xlnm.Print_Area" localSheetId="6">'Material de Consumo'!$A$2:$C$21</definedName>
    <definedName name="_xlnm.Print_Area" localSheetId="10">Migrantes!$A$1:$E$16</definedName>
    <definedName name="_xlnm.Print_Area" localSheetId="2">'Serviços - PF'!$A$2:$E$51</definedName>
    <definedName name="_xlnm.Print_Area" localSheetId="3">'Serviços - PJ'!$A$2:$B$31</definedName>
    <definedName name="_xlnm.Print_Area" localSheetId="1">Servidores!$A$2:$E$64</definedName>
    <definedName name="_xlnm.Print_Area" localSheetId="12">'Valores Referenciais'!$B$1:$C$17</definedName>
    <definedName name="_xlnm.Print_Titles" localSheetId="9">Cronograma!$A:$C,Cronograma!$4:$5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1" i="3" l="1"/>
  <c r="C64" i="3"/>
  <c r="C63" i="3"/>
  <c r="C62" i="3"/>
  <c r="C61" i="3"/>
  <c r="C60" i="3"/>
  <c r="C59" i="3"/>
  <c r="C58" i="3"/>
  <c r="C57" i="3"/>
  <c r="C56" i="3"/>
  <c r="C55" i="3"/>
  <c r="C54" i="3"/>
  <c r="D68" i="4"/>
  <c r="E68" i="4" s="1"/>
  <c r="D67" i="4"/>
  <c r="E67" i="4" s="1"/>
  <c r="D66" i="4"/>
  <c r="E66" i="4" s="1"/>
  <c r="D65" i="4"/>
  <c r="E65" i="4" s="1"/>
  <c r="D64" i="4"/>
  <c r="E64" i="4" s="1"/>
  <c r="D63" i="4"/>
  <c r="E63" i="4" s="1"/>
  <c r="D62" i="4"/>
  <c r="E62" i="4" s="1"/>
  <c r="D61" i="4"/>
  <c r="E61" i="4" s="1"/>
  <c r="D47" i="4"/>
  <c r="E47" i="4" s="1"/>
  <c r="D46" i="4"/>
  <c r="E46" i="4" s="1"/>
  <c r="D45" i="4"/>
  <c r="E45" i="4" s="1"/>
  <c r="D44" i="4"/>
  <c r="E44" i="4" s="1"/>
  <c r="D43" i="4"/>
  <c r="E43" i="4" s="1"/>
  <c r="D42" i="4"/>
  <c r="E42" i="4" s="1"/>
  <c r="D41" i="4"/>
  <c r="E41" i="4" s="1"/>
  <c r="D40" i="4"/>
  <c r="E40" i="4" s="1"/>
  <c r="D39" i="4"/>
  <c r="E39" i="4" s="1"/>
  <c r="D38" i="4"/>
  <c r="E38" i="4" s="1"/>
  <c r="D37" i="4"/>
  <c r="E37" i="4" s="1"/>
  <c r="D36" i="4"/>
  <c r="E36" i="4" s="1"/>
  <c r="E21" i="4"/>
  <c r="E20" i="4"/>
  <c r="E19" i="4"/>
  <c r="E18" i="4"/>
  <c r="E17" i="4"/>
  <c r="E16" i="4"/>
  <c r="E15" i="4"/>
  <c r="E14" i="4"/>
  <c r="E13" i="4"/>
  <c r="E12" i="4"/>
  <c r="E11" i="4"/>
  <c r="R44" i="3"/>
  <c r="Q44" i="3"/>
  <c r="P44" i="3"/>
  <c r="O44" i="3"/>
  <c r="N44" i="3"/>
  <c r="M44" i="3"/>
  <c r="L44" i="3"/>
  <c r="K44" i="3"/>
  <c r="J44" i="3"/>
  <c r="I44" i="3"/>
  <c r="H44" i="3"/>
  <c r="G44" i="3"/>
  <c r="D44" i="3"/>
  <c r="E44" i="3" s="1"/>
  <c r="R43" i="3"/>
  <c r="Q43" i="3"/>
  <c r="P43" i="3"/>
  <c r="O43" i="3"/>
  <c r="N43" i="3"/>
  <c r="M43" i="3"/>
  <c r="L43" i="3"/>
  <c r="K43" i="3"/>
  <c r="J43" i="3"/>
  <c r="I43" i="3"/>
  <c r="H43" i="3"/>
  <c r="G43" i="3"/>
  <c r="D43" i="3"/>
  <c r="E43" i="3" s="1"/>
  <c r="R42" i="3"/>
  <c r="Q42" i="3"/>
  <c r="P42" i="3"/>
  <c r="O42" i="3"/>
  <c r="N42" i="3"/>
  <c r="M42" i="3"/>
  <c r="L42" i="3"/>
  <c r="K42" i="3"/>
  <c r="J42" i="3"/>
  <c r="I42" i="3"/>
  <c r="H42" i="3"/>
  <c r="G42" i="3"/>
  <c r="D42" i="3"/>
  <c r="E42" i="3" s="1"/>
  <c r="R41" i="3"/>
  <c r="Q41" i="3"/>
  <c r="P41" i="3"/>
  <c r="O41" i="3"/>
  <c r="N41" i="3"/>
  <c r="M41" i="3"/>
  <c r="L41" i="3"/>
  <c r="K41" i="3"/>
  <c r="J41" i="3"/>
  <c r="I41" i="3"/>
  <c r="H41" i="3"/>
  <c r="G41" i="3"/>
  <c r="D41" i="3"/>
  <c r="E41" i="3" s="1"/>
  <c r="R40" i="3"/>
  <c r="Q40" i="3"/>
  <c r="P40" i="3"/>
  <c r="O40" i="3"/>
  <c r="N40" i="3"/>
  <c r="M40" i="3"/>
  <c r="L40" i="3"/>
  <c r="K40" i="3"/>
  <c r="J40" i="3"/>
  <c r="I40" i="3"/>
  <c r="H40" i="3"/>
  <c r="G40" i="3"/>
  <c r="D40" i="3"/>
  <c r="E40" i="3" s="1"/>
  <c r="R39" i="3"/>
  <c r="Q39" i="3"/>
  <c r="P39" i="3"/>
  <c r="O39" i="3"/>
  <c r="N39" i="3"/>
  <c r="M39" i="3"/>
  <c r="L39" i="3"/>
  <c r="K39" i="3"/>
  <c r="J39" i="3"/>
  <c r="I39" i="3"/>
  <c r="H39" i="3"/>
  <c r="G39" i="3"/>
  <c r="D39" i="3"/>
  <c r="E39" i="3" s="1"/>
  <c r="R38" i="3"/>
  <c r="Q38" i="3"/>
  <c r="P38" i="3"/>
  <c r="O38" i="3"/>
  <c r="N38" i="3"/>
  <c r="M38" i="3"/>
  <c r="L38" i="3"/>
  <c r="K38" i="3"/>
  <c r="J38" i="3"/>
  <c r="I38" i="3"/>
  <c r="H38" i="3"/>
  <c r="G38" i="3"/>
  <c r="D38" i="3"/>
  <c r="E38" i="3" s="1"/>
  <c r="R37" i="3"/>
  <c r="Q37" i="3"/>
  <c r="P37" i="3"/>
  <c r="O37" i="3"/>
  <c r="N37" i="3"/>
  <c r="M37" i="3"/>
  <c r="L37" i="3"/>
  <c r="K37" i="3"/>
  <c r="J37" i="3"/>
  <c r="I37" i="3"/>
  <c r="H37" i="3"/>
  <c r="G37" i="3"/>
  <c r="D37" i="3"/>
  <c r="E37" i="3" s="1"/>
  <c r="R36" i="3"/>
  <c r="Q36" i="3"/>
  <c r="P36" i="3"/>
  <c r="O36" i="3"/>
  <c r="N36" i="3"/>
  <c r="M36" i="3"/>
  <c r="L36" i="3"/>
  <c r="K36" i="3"/>
  <c r="J36" i="3"/>
  <c r="I36" i="3"/>
  <c r="H36" i="3"/>
  <c r="G36" i="3"/>
  <c r="D36" i="3"/>
  <c r="E36" i="3" s="1"/>
  <c r="R35" i="3"/>
  <c r="Q35" i="3"/>
  <c r="P35" i="3"/>
  <c r="O35" i="3"/>
  <c r="N35" i="3"/>
  <c r="M35" i="3"/>
  <c r="L35" i="3"/>
  <c r="K35" i="3"/>
  <c r="J35" i="3"/>
  <c r="I35" i="3"/>
  <c r="H35" i="3"/>
  <c r="G35" i="3"/>
  <c r="D35" i="3"/>
  <c r="E35" i="3" s="1"/>
  <c r="R34" i="3"/>
  <c r="Q34" i="3"/>
  <c r="P34" i="3"/>
  <c r="O34" i="3"/>
  <c r="N34" i="3"/>
  <c r="M34" i="3"/>
  <c r="L34" i="3"/>
  <c r="K34" i="3"/>
  <c r="J34" i="3"/>
  <c r="I34" i="3"/>
  <c r="H34" i="3"/>
  <c r="G34" i="3"/>
  <c r="D34" i="3"/>
  <c r="E34" i="3" s="1"/>
  <c r="R33" i="3"/>
  <c r="Q33" i="3"/>
  <c r="P33" i="3"/>
  <c r="O33" i="3"/>
  <c r="N33" i="3"/>
  <c r="M33" i="3"/>
  <c r="L33" i="3"/>
  <c r="K33" i="3"/>
  <c r="J33" i="3"/>
  <c r="I33" i="3"/>
  <c r="H33" i="3"/>
  <c r="G33" i="3"/>
  <c r="D33" i="3"/>
  <c r="E33" i="3" s="1"/>
  <c r="C8" i="12"/>
  <c r="C7" i="12"/>
  <c r="C6" i="12"/>
  <c r="C5" i="12"/>
  <c r="D70" i="4"/>
  <c r="E70" i="4" s="1"/>
  <c r="D69" i="4"/>
  <c r="E69" i="4" s="1"/>
  <c r="D47" i="11"/>
  <c r="D48" i="4" l="1"/>
  <c r="D47" i="1"/>
  <c r="I9" i="9" l="1"/>
  <c r="I8" i="9"/>
  <c r="C6" i="18"/>
  <c r="C15" i="18"/>
  <c r="C14" i="18"/>
  <c r="C13" i="18"/>
  <c r="C12" i="18"/>
  <c r="C11" i="18"/>
  <c r="C10" i="18"/>
  <c r="C9" i="18"/>
  <c r="C8" i="18"/>
  <c r="C7" i="18"/>
  <c r="A2" i="18"/>
  <c r="B2" i="12"/>
  <c r="B2" i="13"/>
  <c r="B2" i="14"/>
  <c r="B2" i="11"/>
  <c r="A2" i="17"/>
  <c r="D15" i="17"/>
  <c r="E15" i="17" s="1"/>
  <c r="D14" i="17"/>
  <c r="E14" i="17" s="1"/>
  <c r="D13" i="17"/>
  <c r="E13" i="17" s="1"/>
  <c r="D12" i="17"/>
  <c r="E12" i="17" s="1"/>
  <c r="D11" i="17"/>
  <c r="E11" i="17" s="1"/>
  <c r="D10" i="17"/>
  <c r="E10" i="17" s="1"/>
  <c r="D9" i="17"/>
  <c r="E9" i="17" s="1"/>
  <c r="E8" i="17"/>
  <c r="E7" i="17"/>
  <c r="E6" i="17"/>
  <c r="A3" i="15"/>
  <c r="A3" i="9"/>
  <c r="A3" i="8"/>
  <c r="A3" i="7"/>
  <c r="A3" i="6"/>
  <c r="A3" i="5"/>
  <c r="A3" i="4"/>
  <c r="A3" i="3"/>
  <c r="D50" i="4"/>
  <c r="E50" i="4" s="1"/>
  <c r="D49" i="4"/>
  <c r="E49" i="4" s="1"/>
  <c r="E48" i="4"/>
  <c r="AB40" i="11"/>
  <c r="Y40" i="11"/>
  <c r="V40" i="11"/>
  <c r="S40" i="11"/>
  <c r="P40" i="11"/>
  <c r="M40" i="11"/>
  <c r="J40" i="11"/>
  <c r="G40" i="11"/>
  <c r="AB24" i="11"/>
  <c r="Y24" i="11"/>
  <c r="V24" i="11"/>
  <c r="S24" i="11"/>
  <c r="P24" i="11"/>
  <c r="M24" i="11"/>
  <c r="J24" i="11"/>
  <c r="G24" i="11"/>
  <c r="G42" i="11"/>
  <c r="J42" i="11"/>
  <c r="M42" i="11"/>
  <c r="P42" i="11"/>
  <c r="S42" i="11"/>
  <c r="V42" i="11"/>
  <c r="Y42" i="11"/>
  <c r="AB42" i="11"/>
  <c r="AB38" i="11"/>
  <c r="Y38" i="11"/>
  <c r="V38" i="11"/>
  <c r="S38" i="11"/>
  <c r="P38" i="11"/>
  <c r="M38" i="11"/>
  <c r="J38" i="11"/>
  <c r="G38" i="11"/>
  <c r="J50" i="3"/>
  <c r="J49" i="3"/>
  <c r="J48" i="3"/>
  <c r="J47" i="3"/>
  <c r="J46" i="3"/>
  <c r="J45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8" i="3"/>
  <c r="J17" i="3"/>
  <c r="J16" i="3"/>
  <c r="J15" i="3"/>
  <c r="J14" i="3"/>
  <c r="J13" i="3"/>
  <c r="J12" i="3"/>
  <c r="J11" i="3"/>
  <c r="J10" i="3"/>
  <c r="J8" i="3"/>
  <c r="J7" i="3"/>
  <c r="H50" i="3"/>
  <c r="H49" i="3"/>
  <c r="H48" i="3"/>
  <c r="H47" i="3"/>
  <c r="H46" i="3"/>
  <c r="H45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8" i="3"/>
  <c r="H17" i="3"/>
  <c r="H16" i="3"/>
  <c r="H15" i="3"/>
  <c r="H14" i="3"/>
  <c r="H13" i="3"/>
  <c r="H12" i="3"/>
  <c r="H11" i="3"/>
  <c r="H9" i="3"/>
  <c r="H8" i="3"/>
  <c r="I7" i="3"/>
  <c r="G10" i="11"/>
  <c r="J10" i="11"/>
  <c r="M10" i="11"/>
  <c r="P10" i="11"/>
  <c r="S10" i="11"/>
  <c r="V10" i="11"/>
  <c r="Y10" i="11"/>
  <c r="AB10" i="11"/>
  <c r="AB32" i="11"/>
  <c r="Y32" i="11"/>
  <c r="V32" i="11"/>
  <c r="S32" i="11"/>
  <c r="P32" i="11"/>
  <c r="M32" i="11"/>
  <c r="J32" i="11"/>
  <c r="G32" i="11"/>
  <c r="AB34" i="11"/>
  <c r="Y34" i="11"/>
  <c r="V34" i="11"/>
  <c r="AB36" i="11"/>
  <c r="Y36" i="11"/>
  <c r="V36" i="11"/>
  <c r="S36" i="11"/>
  <c r="P36" i="11"/>
  <c r="M36" i="11"/>
  <c r="J36" i="11"/>
  <c r="G36" i="11"/>
  <c r="K30" i="11"/>
  <c r="H30" i="11"/>
  <c r="E30" i="11"/>
  <c r="AB28" i="11"/>
  <c r="Y28" i="11"/>
  <c r="V28" i="11"/>
  <c r="S28" i="11"/>
  <c r="P28" i="11"/>
  <c r="M28" i="11"/>
  <c r="J28" i="11"/>
  <c r="G28" i="11"/>
  <c r="AB26" i="11"/>
  <c r="Y26" i="11"/>
  <c r="V26" i="11"/>
  <c r="S26" i="11"/>
  <c r="P26" i="11"/>
  <c r="M26" i="11"/>
  <c r="J26" i="11"/>
  <c r="G26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K20" i="11"/>
  <c r="H20" i="11"/>
  <c r="E20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E18" i="11"/>
  <c r="AB16" i="11"/>
  <c r="Y16" i="11"/>
  <c r="V16" i="11"/>
  <c r="AB14" i="11"/>
  <c r="Y14" i="11"/>
  <c r="V14" i="11"/>
  <c r="AB12" i="11"/>
  <c r="Y12" i="11"/>
  <c r="V12" i="11"/>
  <c r="S12" i="11"/>
  <c r="P12" i="11"/>
  <c r="M12" i="11"/>
  <c r="J12" i="11"/>
  <c r="G12" i="11"/>
  <c r="B8" i="15"/>
  <c r="B7" i="15"/>
  <c r="B12" i="15" s="1"/>
  <c r="H27" i="1" s="1"/>
  <c r="C24" i="11" s="1"/>
  <c r="X25" i="11" s="1"/>
  <c r="I12" i="9"/>
  <c r="I11" i="9"/>
  <c r="I10" i="9"/>
  <c r="C16" i="18" l="1"/>
  <c r="AC40" i="11"/>
  <c r="E16" i="17"/>
  <c r="P25" i="11"/>
  <c r="AB25" i="11"/>
  <c r="G25" i="11"/>
  <c r="S25" i="11"/>
  <c r="J25" i="11"/>
  <c r="V25" i="11"/>
  <c r="I25" i="11"/>
  <c r="Y25" i="11"/>
  <c r="M25" i="11"/>
  <c r="Q25" i="11"/>
  <c r="E25" i="11"/>
  <c r="U25" i="11"/>
  <c r="F25" i="11"/>
  <c r="N25" i="11"/>
  <c r="R25" i="11"/>
  <c r="Z25" i="11"/>
  <c r="K25" i="11"/>
  <c r="O25" i="11"/>
  <c r="W25" i="11"/>
  <c r="AA25" i="11"/>
  <c r="AC24" i="11"/>
  <c r="H25" i="11"/>
  <c r="L25" i="11"/>
  <c r="T25" i="11"/>
  <c r="AC42" i="11"/>
  <c r="AC38" i="11"/>
  <c r="AC10" i="11"/>
  <c r="AC34" i="11"/>
  <c r="AC22" i="11"/>
  <c r="AC26" i="11"/>
  <c r="AC28" i="11"/>
  <c r="AC36" i="11"/>
  <c r="AC30" i="11"/>
  <c r="F12" i="9"/>
  <c r="F11" i="9"/>
  <c r="F10" i="9"/>
  <c r="F9" i="9"/>
  <c r="F8" i="9"/>
  <c r="B57" i="3"/>
  <c r="B56" i="3"/>
  <c r="B55" i="3"/>
  <c r="J11" i="9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45" i="3"/>
  <c r="E45" i="3" s="1"/>
  <c r="J19" i="3" l="1"/>
  <c r="H19" i="3"/>
  <c r="B61" i="3"/>
  <c r="B54" i="3"/>
  <c r="B62" i="3"/>
  <c r="J10" i="9"/>
  <c r="J9" i="9"/>
  <c r="F13" i="9"/>
  <c r="J12" i="9"/>
  <c r="F6" i="11"/>
  <c r="N22" i="3"/>
  <c r="N23" i="3"/>
  <c r="N24" i="3"/>
  <c r="N25" i="3"/>
  <c r="N26" i="3"/>
  <c r="O27" i="3"/>
  <c r="O28" i="3"/>
  <c r="O29" i="3"/>
  <c r="O30" i="3"/>
  <c r="O31" i="3"/>
  <c r="O32" i="3"/>
  <c r="O45" i="3"/>
  <c r="E6" i="11"/>
  <c r="L8" i="3"/>
  <c r="L9" i="3"/>
  <c r="L10" i="3"/>
  <c r="L11" i="3"/>
  <c r="L12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45" i="3"/>
  <c r="L7" i="3"/>
  <c r="L46" i="3"/>
  <c r="L47" i="3"/>
  <c r="L48" i="3"/>
  <c r="L49" i="3"/>
  <c r="L50" i="3"/>
  <c r="C38" i="1"/>
  <c r="C40" i="1" s="1"/>
  <c r="B48" i="1"/>
  <c r="I13" i="9"/>
  <c r="E13" i="7"/>
  <c r="E14" i="7"/>
  <c r="I18" i="3"/>
  <c r="K18" i="3"/>
  <c r="M18" i="3"/>
  <c r="N18" i="3"/>
  <c r="O18" i="3"/>
  <c r="P18" i="3"/>
  <c r="Q18" i="3"/>
  <c r="G25" i="3"/>
  <c r="I19" i="3"/>
  <c r="K19" i="3"/>
  <c r="M19" i="3"/>
  <c r="N19" i="3"/>
  <c r="O19" i="3"/>
  <c r="P19" i="3"/>
  <c r="Q19" i="3"/>
  <c r="R19" i="3"/>
  <c r="G26" i="3"/>
  <c r="I20" i="3"/>
  <c r="K20" i="3"/>
  <c r="N20" i="3"/>
  <c r="O20" i="3"/>
  <c r="P20" i="3"/>
  <c r="Q20" i="3"/>
  <c r="R20" i="3"/>
  <c r="G27" i="3"/>
  <c r="I21" i="3"/>
  <c r="K21" i="3"/>
  <c r="M21" i="3"/>
  <c r="O21" i="3"/>
  <c r="P21" i="3"/>
  <c r="Q21" i="3"/>
  <c r="R21" i="3"/>
  <c r="G28" i="3"/>
  <c r="I22" i="3"/>
  <c r="K22" i="3"/>
  <c r="M22" i="3"/>
  <c r="O22" i="3"/>
  <c r="P22" i="3"/>
  <c r="Q22" i="3"/>
  <c r="R22" i="3"/>
  <c r="G29" i="3"/>
  <c r="I23" i="3"/>
  <c r="K23" i="3"/>
  <c r="M23" i="3"/>
  <c r="O23" i="3"/>
  <c r="P23" i="3"/>
  <c r="Q23" i="3"/>
  <c r="R23" i="3"/>
  <c r="G30" i="3"/>
  <c r="I24" i="3"/>
  <c r="K24" i="3"/>
  <c r="M24" i="3"/>
  <c r="O24" i="3"/>
  <c r="P24" i="3"/>
  <c r="Q24" i="3"/>
  <c r="R24" i="3"/>
  <c r="G31" i="3"/>
  <c r="I25" i="3"/>
  <c r="K25" i="3"/>
  <c r="M25" i="3"/>
  <c r="O25" i="3"/>
  <c r="P25" i="3"/>
  <c r="Q25" i="3"/>
  <c r="R25" i="3"/>
  <c r="G32" i="3"/>
  <c r="I26" i="3"/>
  <c r="K26" i="3"/>
  <c r="M26" i="3"/>
  <c r="O26" i="3"/>
  <c r="P26" i="3"/>
  <c r="Q26" i="3"/>
  <c r="R26" i="3"/>
  <c r="G45" i="3"/>
  <c r="I27" i="3"/>
  <c r="K27" i="3"/>
  <c r="M27" i="3"/>
  <c r="N27" i="3"/>
  <c r="P27" i="3"/>
  <c r="Q27" i="3"/>
  <c r="R27" i="3"/>
  <c r="D46" i="3"/>
  <c r="E46" i="3" s="1"/>
  <c r="G46" i="3"/>
  <c r="I28" i="3"/>
  <c r="K28" i="3"/>
  <c r="M28" i="3"/>
  <c r="N28" i="3"/>
  <c r="P28" i="3"/>
  <c r="Q28" i="3"/>
  <c r="R28" i="3"/>
  <c r="D47" i="3"/>
  <c r="E47" i="3" s="1"/>
  <c r="G47" i="3"/>
  <c r="I29" i="3"/>
  <c r="K29" i="3"/>
  <c r="M29" i="3"/>
  <c r="N29" i="3"/>
  <c r="P29" i="3"/>
  <c r="Q29" i="3"/>
  <c r="R29" i="3"/>
  <c r="AC32" i="11"/>
  <c r="AC20" i="11"/>
  <c r="AC16" i="11"/>
  <c r="AC14" i="11"/>
  <c r="AC12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E7" i="7"/>
  <c r="E8" i="7"/>
  <c r="C21" i="8"/>
  <c r="H23" i="1" s="1"/>
  <c r="E22" i="4"/>
  <c r="E23" i="4"/>
  <c r="E24" i="4"/>
  <c r="E25" i="4"/>
  <c r="E17" i="6"/>
  <c r="H26" i="1" s="1"/>
  <c r="B64" i="3"/>
  <c r="B63" i="3"/>
  <c r="D12" i="3"/>
  <c r="E12" i="3" s="1"/>
  <c r="P12" i="3" s="1"/>
  <c r="D11" i="3"/>
  <c r="E11" i="3" s="1"/>
  <c r="O11" i="3" s="1"/>
  <c r="B60" i="3"/>
  <c r="B59" i="3"/>
  <c r="B58" i="3"/>
  <c r="R50" i="3"/>
  <c r="Q50" i="3"/>
  <c r="P50" i="3"/>
  <c r="O50" i="3"/>
  <c r="N50" i="3"/>
  <c r="M50" i="3"/>
  <c r="K50" i="3"/>
  <c r="I50" i="3"/>
  <c r="G56" i="3"/>
  <c r="D57" i="4"/>
  <c r="E57" i="4" s="1"/>
  <c r="R49" i="3"/>
  <c r="Q49" i="3"/>
  <c r="P49" i="3"/>
  <c r="O49" i="3"/>
  <c r="N49" i="3"/>
  <c r="M49" i="3"/>
  <c r="K49" i="3"/>
  <c r="I49" i="3"/>
  <c r="G55" i="3"/>
  <c r="D56" i="4"/>
  <c r="E56" i="4" s="1"/>
  <c r="R48" i="3"/>
  <c r="Q48" i="3"/>
  <c r="P48" i="3"/>
  <c r="O48" i="3"/>
  <c r="N48" i="3"/>
  <c r="M48" i="3"/>
  <c r="K48" i="3"/>
  <c r="I48" i="3"/>
  <c r="G54" i="3"/>
  <c r="R47" i="3"/>
  <c r="Q47" i="3"/>
  <c r="P47" i="3"/>
  <c r="O47" i="3"/>
  <c r="N47" i="3"/>
  <c r="M47" i="3"/>
  <c r="K47" i="3"/>
  <c r="I47" i="3"/>
  <c r="G53" i="3"/>
  <c r="R46" i="3"/>
  <c r="Q46" i="3"/>
  <c r="P46" i="3"/>
  <c r="O46" i="3"/>
  <c r="N46" i="3"/>
  <c r="M46" i="3"/>
  <c r="K46" i="3"/>
  <c r="I46" i="3"/>
  <c r="G52" i="3"/>
  <c r="R45" i="3"/>
  <c r="Q45" i="3"/>
  <c r="P45" i="3"/>
  <c r="N45" i="3"/>
  <c r="M45" i="3"/>
  <c r="K45" i="3"/>
  <c r="I45" i="3"/>
  <c r="G51" i="3"/>
  <c r="R32" i="3"/>
  <c r="Q32" i="3"/>
  <c r="P32" i="3"/>
  <c r="N32" i="3"/>
  <c r="M32" i="3"/>
  <c r="K32" i="3"/>
  <c r="I32" i="3"/>
  <c r="G50" i="3"/>
  <c r="D50" i="3"/>
  <c r="E50" i="3" s="1"/>
  <c r="R31" i="3"/>
  <c r="Q31" i="3"/>
  <c r="P31" i="3"/>
  <c r="N31" i="3"/>
  <c r="M31" i="3"/>
  <c r="K31" i="3"/>
  <c r="I31" i="3"/>
  <c r="G49" i="3"/>
  <c r="D49" i="3"/>
  <c r="E49" i="3" s="1"/>
  <c r="R30" i="3"/>
  <c r="Q30" i="3"/>
  <c r="P30" i="3"/>
  <c r="N30" i="3"/>
  <c r="M30" i="3"/>
  <c r="K30" i="3"/>
  <c r="I30" i="3"/>
  <c r="G48" i="3"/>
  <c r="D48" i="3"/>
  <c r="E48" i="3" s="1"/>
  <c r="Q17" i="3"/>
  <c r="P17" i="3"/>
  <c r="O17" i="3"/>
  <c r="N17" i="3"/>
  <c r="M17" i="3"/>
  <c r="K17" i="3"/>
  <c r="I17" i="3"/>
  <c r="G23" i="3"/>
  <c r="R16" i="3"/>
  <c r="P16" i="3"/>
  <c r="O16" i="3"/>
  <c r="N16" i="3"/>
  <c r="M16" i="3"/>
  <c r="K16" i="3"/>
  <c r="I16" i="3"/>
  <c r="R15" i="3"/>
  <c r="Q15" i="3"/>
  <c r="P15" i="3"/>
  <c r="O15" i="3"/>
  <c r="M15" i="3"/>
  <c r="K15" i="3"/>
  <c r="G21" i="3"/>
  <c r="R14" i="3"/>
  <c r="Q14" i="3"/>
  <c r="P14" i="3"/>
  <c r="O14" i="3"/>
  <c r="N14" i="3"/>
  <c r="K14" i="3"/>
  <c r="I14" i="3"/>
  <c r="G20" i="3"/>
  <c r="M20" i="3"/>
  <c r="R13" i="3"/>
  <c r="Q13" i="3"/>
  <c r="P13" i="3"/>
  <c r="O13" i="3"/>
  <c r="N13" i="3"/>
  <c r="M13" i="3"/>
  <c r="K13" i="3"/>
  <c r="G19" i="3"/>
  <c r="R12" i="3"/>
  <c r="Q12" i="3"/>
  <c r="O12" i="3"/>
  <c r="N12" i="3"/>
  <c r="M12" i="3"/>
  <c r="K12" i="3"/>
  <c r="G18" i="3"/>
  <c r="G24" i="3"/>
  <c r="R11" i="3"/>
  <c r="Q11" i="3"/>
  <c r="P11" i="3"/>
  <c r="N11" i="3"/>
  <c r="M11" i="3"/>
  <c r="K11" i="3"/>
  <c r="G17" i="3"/>
  <c r="R10" i="3"/>
  <c r="Q10" i="3"/>
  <c r="P10" i="3"/>
  <c r="O10" i="3"/>
  <c r="N10" i="3"/>
  <c r="M10" i="3"/>
  <c r="K10" i="3"/>
  <c r="G22" i="3"/>
  <c r="R9" i="3"/>
  <c r="Q9" i="3"/>
  <c r="P9" i="3"/>
  <c r="O9" i="3"/>
  <c r="N9" i="3"/>
  <c r="M9" i="3"/>
  <c r="K9" i="3"/>
  <c r="I9" i="3"/>
  <c r="I15" i="3"/>
  <c r="R8" i="3"/>
  <c r="Q8" i="3"/>
  <c r="P8" i="3"/>
  <c r="O8" i="3"/>
  <c r="N8" i="3"/>
  <c r="M8" i="3"/>
  <c r="K8" i="3"/>
  <c r="R7" i="3"/>
  <c r="Q7" i="3"/>
  <c r="P7" i="3"/>
  <c r="O7" i="3"/>
  <c r="N7" i="3"/>
  <c r="M7" i="3"/>
  <c r="K7" i="3"/>
  <c r="I13" i="3"/>
  <c r="I12" i="3"/>
  <c r="I11" i="3"/>
  <c r="I10" i="3"/>
  <c r="D48" i="11"/>
  <c r="E49" i="11" s="1"/>
  <c r="D35" i="4" l="1"/>
  <c r="E35" i="4" s="1"/>
  <c r="D60" i="4"/>
  <c r="E60" i="4" s="1"/>
  <c r="E15" i="7"/>
  <c r="D58" i="4"/>
  <c r="E58" i="4" s="1"/>
  <c r="D55" i="4"/>
  <c r="E55" i="4" s="1"/>
  <c r="D33" i="4"/>
  <c r="E33" i="4" s="1"/>
  <c r="D10" i="4"/>
  <c r="E10" i="4" s="1"/>
  <c r="D34" i="4"/>
  <c r="E34" i="4" s="1"/>
  <c r="D59" i="4"/>
  <c r="E59" i="4" s="1"/>
  <c r="C43" i="1"/>
  <c r="H45" i="1" s="1"/>
  <c r="H47" i="1" s="1"/>
  <c r="H44" i="1"/>
  <c r="D39" i="1"/>
  <c r="C41" i="1" s="1"/>
  <c r="C44" i="1" s="1"/>
  <c r="C34" i="11" s="1"/>
  <c r="B8" i="5"/>
  <c r="B12" i="5"/>
  <c r="D31" i="4"/>
  <c r="E31" i="4" s="1"/>
  <c r="D30" i="4"/>
  <c r="E30" i="4" s="1"/>
  <c r="D7" i="3"/>
  <c r="E7" i="3" s="1"/>
  <c r="H7" i="3" s="1"/>
  <c r="B11" i="5"/>
  <c r="B13" i="5"/>
  <c r="D32" i="4"/>
  <c r="E32" i="4" s="1"/>
  <c r="B7" i="5"/>
  <c r="K51" i="3"/>
  <c r="D14" i="3"/>
  <c r="E14" i="3" s="1"/>
  <c r="M14" i="3" s="1"/>
  <c r="M51" i="3" s="1"/>
  <c r="C8" i="11" s="1"/>
  <c r="D8" i="3"/>
  <c r="E8" i="3" s="1"/>
  <c r="I8" i="3" s="1"/>
  <c r="I51" i="3" s="1"/>
  <c r="D13" i="3"/>
  <c r="E13" i="3" s="1"/>
  <c r="L13" i="3" s="1"/>
  <c r="L51" i="3" s="1"/>
  <c r="C6" i="11" s="1"/>
  <c r="P7" i="11" s="1"/>
  <c r="D15" i="3"/>
  <c r="E15" i="3" s="1"/>
  <c r="N15" i="3" s="1"/>
  <c r="D16" i="3"/>
  <c r="E16" i="3" s="1"/>
  <c r="Q16" i="3" s="1"/>
  <c r="Q51" i="3" s="1"/>
  <c r="C18" i="11" s="1"/>
  <c r="D9" i="4"/>
  <c r="E9" i="4" s="1"/>
  <c r="D7" i="4"/>
  <c r="E7" i="4" s="1"/>
  <c r="D8" i="4"/>
  <c r="E8" i="4" s="1"/>
  <c r="D17" i="3"/>
  <c r="E17" i="3" s="1"/>
  <c r="R17" i="3" s="1"/>
  <c r="D18" i="3"/>
  <c r="E18" i="3" s="1"/>
  <c r="R18" i="3" s="1"/>
  <c r="D9" i="3"/>
  <c r="E9" i="3" s="1"/>
  <c r="J9" i="3" s="1"/>
  <c r="J51" i="3" s="1"/>
  <c r="AC8" i="11"/>
  <c r="F49" i="11"/>
  <c r="C30" i="11"/>
  <c r="H22" i="1"/>
  <c r="C38" i="11" s="1"/>
  <c r="AC6" i="11"/>
  <c r="E9" i="7"/>
  <c r="J8" i="9"/>
  <c r="D10" i="3"/>
  <c r="E10" i="3" s="1"/>
  <c r="AC18" i="11"/>
  <c r="P51" i="3"/>
  <c r="C14" i="11" s="1"/>
  <c r="N21" i="3"/>
  <c r="O51" i="3"/>
  <c r="C16" i="11" s="1"/>
  <c r="E71" i="4" l="1"/>
  <c r="H15" i="1" s="1"/>
  <c r="H46" i="1"/>
  <c r="H31" i="1"/>
  <c r="H30" i="1"/>
  <c r="G16" i="3"/>
  <c r="G57" i="3" s="1"/>
  <c r="H10" i="3"/>
  <c r="H51" i="3" s="1"/>
  <c r="C10" i="11" s="1"/>
  <c r="R51" i="3"/>
  <c r="C20" i="11" s="1"/>
  <c r="Q21" i="11" s="1"/>
  <c r="N51" i="3"/>
  <c r="C12" i="11" s="1"/>
  <c r="I13" i="11" s="1"/>
  <c r="B31" i="5"/>
  <c r="H25" i="1" s="1"/>
  <c r="AA39" i="11"/>
  <c r="H39" i="11"/>
  <c r="L39" i="11"/>
  <c r="U39" i="11"/>
  <c r="R39" i="11"/>
  <c r="O39" i="11"/>
  <c r="T39" i="11"/>
  <c r="S39" i="11"/>
  <c r="X39" i="11"/>
  <c r="E39" i="11"/>
  <c r="Z39" i="11"/>
  <c r="W39" i="11"/>
  <c r="P39" i="11"/>
  <c r="J39" i="11"/>
  <c r="M39" i="11"/>
  <c r="I39" i="11"/>
  <c r="F39" i="11"/>
  <c r="G39" i="11"/>
  <c r="AB39" i="11"/>
  <c r="V39" i="11"/>
  <c r="Y39" i="11"/>
  <c r="Q39" i="11"/>
  <c r="N39" i="11"/>
  <c r="K39" i="11"/>
  <c r="G49" i="11"/>
  <c r="E26" i="4"/>
  <c r="C26" i="11" s="1"/>
  <c r="P27" i="11" s="1"/>
  <c r="E51" i="4"/>
  <c r="Y17" i="11"/>
  <c r="U17" i="11"/>
  <c r="Q17" i="11"/>
  <c r="M17" i="11"/>
  <c r="I17" i="11"/>
  <c r="E17" i="11"/>
  <c r="X17" i="11"/>
  <c r="T17" i="11"/>
  <c r="P17" i="11"/>
  <c r="L17" i="11"/>
  <c r="H17" i="11"/>
  <c r="AA17" i="11"/>
  <c r="W17" i="11"/>
  <c r="S17" i="11"/>
  <c r="O17" i="11"/>
  <c r="K17" i="11"/>
  <c r="G17" i="11"/>
  <c r="V17" i="11"/>
  <c r="F17" i="11"/>
  <c r="R17" i="11"/>
  <c r="N17" i="11"/>
  <c r="Z17" i="11"/>
  <c r="J17" i="11"/>
  <c r="AB17" i="11"/>
  <c r="Y31" i="11"/>
  <c r="U31" i="11"/>
  <c r="Q31" i="11"/>
  <c r="M31" i="11"/>
  <c r="I31" i="11"/>
  <c r="AB31" i="11"/>
  <c r="X31" i="11"/>
  <c r="T31" i="11"/>
  <c r="P31" i="11"/>
  <c r="L31" i="11"/>
  <c r="AA31" i="11"/>
  <c r="W31" i="11"/>
  <c r="S31" i="11"/>
  <c r="O31" i="11"/>
  <c r="G31" i="11"/>
  <c r="V31" i="11"/>
  <c r="F31" i="11"/>
  <c r="R31" i="11"/>
  <c r="N31" i="11"/>
  <c r="Z31" i="11"/>
  <c r="J31" i="11"/>
  <c r="K31" i="11"/>
  <c r="E31" i="11"/>
  <c r="H31" i="11"/>
  <c r="R19" i="11"/>
  <c r="O19" i="11"/>
  <c r="Q19" i="11"/>
  <c r="AB19" i="11"/>
  <c r="L19" i="11"/>
  <c r="N19" i="11"/>
  <c r="Y19" i="11"/>
  <c r="AA19" i="11"/>
  <c r="K19" i="11"/>
  <c r="M19" i="11"/>
  <c r="U19" i="11"/>
  <c r="X19" i="11"/>
  <c r="H19" i="11"/>
  <c r="Z19" i="11"/>
  <c r="J19" i="11"/>
  <c r="I19" i="11"/>
  <c r="W19" i="11"/>
  <c r="G19" i="11"/>
  <c r="T19" i="11"/>
  <c r="V19" i="11"/>
  <c r="F19" i="11"/>
  <c r="S19" i="11"/>
  <c r="E19" i="11"/>
  <c r="P19" i="11"/>
  <c r="U35" i="11"/>
  <c r="Q35" i="11"/>
  <c r="M35" i="11"/>
  <c r="I35" i="11"/>
  <c r="E35" i="11"/>
  <c r="X35" i="11"/>
  <c r="T35" i="11"/>
  <c r="P35" i="11"/>
  <c r="L35" i="11"/>
  <c r="H35" i="11"/>
  <c r="AA35" i="11"/>
  <c r="W35" i="11"/>
  <c r="S35" i="11"/>
  <c r="O35" i="11"/>
  <c r="K35" i="11"/>
  <c r="G35" i="11"/>
  <c r="F35" i="11"/>
  <c r="R35" i="11"/>
  <c r="N35" i="11"/>
  <c r="Z35" i="11"/>
  <c r="J35" i="11"/>
  <c r="V35" i="11"/>
  <c r="AB35" i="11"/>
  <c r="Y35" i="11"/>
  <c r="P9" i="11"/>
  <c r="F15" i="11"/>
  <c r="C36" i="11"/>
  <c r="H21" i="1"/>
  <c r="J13" i="9"/>
  <c r="C22" i="11" s="1"/>
  <c r="H13" i="1"/>
  <c r="S15" i="11"/>
  <c r="J15" i="11"/>
  <c r="I15" i="11"/>
  <c r="K9" i="11"/>
  <c r="S9" i="11"/>
  <c r="K15" i="11"/>
  <c r="V15" i="11"/>
  <c r="L15" i="11"/>
  <c r="N15" i="11"/>
  <c r="U15" i="11"/>
  <c r="T15" i="11"/>
  <c r="Q15" i="11"/>
  <c r="Y15" i="11"/>
  <c r="W15" i="11"/>
  <c r="G15" i="11"/>
  <c r="H15" i="11"/>
  <c r="R15" i="11"/>
  <c r="O15" i="11"/>
  <c r="P15" i="11"/>
  <c r="E7" i="11"/>
  <c r="E15" i="11"/>
  <c r="Z15" i="11"/>
  <c r="F7" i="11"/>
  <c r="AB15" i="11"/>
  <c r="AA15" i="11"/>
  <c r="X15" i="11"/>
  <c r="I9" i="11"/>
  <c r="M15" i="11"/>
  <c r="Y9" i="11"/>
  <c r="W9" i="11"/>
  <c r="E9" i="11"/>
  <c r="H9" i="11"/>
  <c r="O9" i="11"/>
  <c r="M9" i="11"/>
  <c r="U9" i="11"/>
  <c r="V9" i="11"/>
  <c r="X9" i="11"/>
  <c r="AB9" i="11"/>
  <c r="I7" i="11"/>
  <c r="N7" i="11"/>
  <c r="V7" i="11"/>
  <c r="Y7" i="11"/>
  <c r="L7" i="11"/>
  <c r="AA7" i="11"/>
  <c r="Q7" i="11"/>
  <c r="X7" i="11"/>
  <c r="W7" i="11"/>
  <c r="K7" i="11"/>
  <c r="AB7" i="11"/>
  <c r="S7" i="11"/>
  <c r="U7" i="11"/>
  <c r="T7" i="11"/>
  <c r="H7" i="11"/>
  <c r="Z7" i="11"/>
  <c r="G7" i="11"/>
  <c r="J7" i="11"/>
  <c r="O7" i="11"/>
  <c r="R7" i="11"/>
  <c r="M7" i="11"/>
  <c r="Q9" i="11"/>
  <c r="N9" i="11"/>
  <c r="L9" i="11"/>
  <c r="T9" i="11"/>
  <c r="G9" i="11"/>
  <c r="R9" i="11"/>
  <c r="Z9" i="11"/>
  <c r="F9" i="11"/>
  <c r="J9" i="11"/>
  <c r="AA9" i="11"/>
  <c r="H24" i="1" l="1"/>
  <c r="H16" i="1"/>
  <c r="E21" i="11"/>
  <c r="R21" i="11"/>
  <c r="O21" i="11"/>
  <c r="L21" i="11"/>
  <c r="AB21" i="11"/>
  <c r="J21" i="11"/>
  <c r="S21" i="11"/>
  <c r="I21" i="11"/>
  <c r="K21" i="11"/>
  <c r="Z21" i="11"/>
  <c r="V21" i="11"/>
  <c r="W21" i="11"/>
  <c r="T21" i="11"/>
  <c r="U21" i="11"/>
  <c r="F21" i="11"/>
  <c r="P21" i="11"/>
  <c r="H21" i="11"/>
  <c r="N21" i="11"/>
  <c r="G21" i="11"/>
  <c r="AA21" i="11"/>
  <c r="X21" i="11"/>
  <c r="Y21" i="11"/>
  <c r="W13" i="11"/>
  <c r="T13" i="11"/>
  <c r="P13" i="11"/>
  <c r="M13" i="11"/>
  <c r="Q13" i="11"/>
  <c r="Z13" i="11"/>
  <c r="S51" i="3"/>
  <c r="V13" i="11"/>
  <c r="J13" i="11"/>
  <c r="N13" i="11"/>
  <c r="AA13" i="11"/>
  <c r="X13" i="11"/>
  <c r="U13" i="11"/>
  <c r="AB13" i="11"/>
  <c r="Y13" i="11"/>
  <c r="R13" i="11"/>
  <c r="K13" i="11"/>
  <c r="H13" i="11"/>
  <c r="E13" i="11"/>
  <c r="M21" i="11"/>
  <c r="G13" i="11"/>
  <c r="S13" i="11"/>
  <c r="F13" i="11"/>
  <c r="O13" i="11"/>
  <c r="L13" i="11"/>
  <c r="C32" i="11"/>
  <c r="Y33" i="11" s="1"/>
  <c r="Q27" i="11"/>
  <c r="H49" i="11"/>
  <c r="F27" i="11"/>
  <c r="AA27" i="11"/>
  <c r="G27" i="11"/>
  <c r="X27" i="11"/>
  <c r="AC39" i="11"/>
  <c r="F11" i="11"/>
  <c r="R11" i="11"/>
  <c r="X11" i="11"/>
  <c r="G11" i="11"/>
  <c r="V11" i="11"/>
  <c r="Q11" i="11"/>
  <c r="S11" i="11"/>
  <c r="E11" i="11"/>
  <c r="T11" i="11"/>
  <c r="Y11" i="11"/>
  <c r="N11" i="11"/>
  <c r="H11" i="11"/>
  <c r="O11" i="11"/>
  <c r="AB11" i="11"/>
  <c r="U11" i="11"/>
  <c r="P11" i="11"/>
  <c r="M11" i="11"/>
  <c r="I11" i="11"/>
  <c r="J11" i="11"/>
  <c r="L11" i="11"/>
  <c r="K11" i="11"/>
  <c r="AA11" i="11"/>
  <c r="Z11" i="11"/>
  <c r="W11" i="11"/>
  <c r="AB27" i="11"/>
  <c r="J27" i="11"/>
  <c r="Z27" i="11"/>
  <c r="K27" i="11"/>
  <c r="H27" i="11"/>
  <c r="E27" i="11"/>
  <c r="V27" i="11"/>
  <c r="M27" i="11"/>
  <c r="N27" i="11"/>
  <c r="O27" i="11"/>
  <c r="L27" i="11"/>
  <c r="U27" i="11"/>
  <c r="Y27" i="11"/>
  <c r="S27" i="11"/>
  <c r="R27" i="11"/>
  <c r="W27" i="11"/>
  <c r="T27" i="11"/>
  <c r="I27" i="11"/>
  <c r="C28" i="11"/>
  <c r="H14" i="1"/>
  <c r="H17" i="1" s="1"/>
  <c r="U37" i="11"/>
  <c r="Q37" i="11"/>
  <c r="I37" i="11"/>
  <c r="E37" i="11"/>
  <c r="X37" i="11"/>
  <c r="T37" i="11"/>
  <c r="L37" i="11"/>
  <c r="H37" i="11"/>
  <c r="AA37" i="11"/>
  <c r="W37" i="11"/>
  <c r="O37" i="11"/>
  <c r="K37" i="11"/>
  <c r="N37" i="11"/>
  <c r="Z37" i="11"/>
  <c r="J37" i="11"/>
  <c r="V37" i="11"/>
  <c r="F37" i="11"/>
  <c r="R37" i="11"/>
  <c r="P37" i="11"/>
  <c r="G37" i="11"/>
  <c r="M37" i="11"/>
  <c r="AB37" i="11"/>
  <c r="S37" i="11"/>
  <c r="Y37" i="11"/>
  <c r="AC35" i="11"/>
  <c r="F23" i="11"/>
  <c r="V23" i="11"/>
  <c r="H23" i="11"/>
  <c r="X23" i="11"/>
  <c r="Q23" i="11"/>
  <c r="K23" i="11"/>
  <c r="AA23" i="11"/>
  <c r="J23" i="11"/>
  <c r="Z23" i="11"/>
  <c r="L23" i="11"/>
  <c r="AB23" i="11"/>
  <c r="E23" i="11"/>
  <c r="U23" i="11"/>
  <c r="O23" i="11"/>
  <c r="N23" i="11"/>
  <c r="P23" i="11"/>
  <c r="I23" i="11"/>
  <c r="Y23" i="11"/>
  <c r="S23" i="11"/>
  <c r="R23" i="11"/>
  <c r="T23" i="11"/>
  <c r="M23" i="11"/>
  <c r="G23" i="11"/>
  <c r="W23" i="11"/>
  <c r="AC31" i="11"/>
  <c r="AC17" i="11"/>
  <c r="AC19" i="11"/>
  <c r="AC15" i="11"/>
  <c r="AC9" i="11"/>
  <c r="AC7" i="11"/>
  <c r="AC21" i="11" l="1"/>
  <c r="AC13" i="11"/>
  <c r="AC27" i="11"/>
  <c r="K33" i="11"/>
  <c r="AB33" i="11"/>
  <c r="X33" i="11"/>
  <c r="R33" i="11"/>
  <c r="S33" i="11"/>
  <c r="U33" i="11"/>
  <c r="P33" i="11"/>
  <c r="Q33" i="11"/>
  <c r="J33" i="11"/>
  <c r="AA33" i="11"/>
  <c r="L33" i="11"/>
  <c r="W33" i="11"/>
  <c r="H33" i="11"/>
  <c r="M33" i="11"/>
  <c r="N33" i="11"/>
  <c r="F33" i="11"/>
  <c r="E33" i="11"/>
  <c r="I33" i="11"/>
  <c r="G33" i="11"/>
  <c r="T33" i="11"/>
  <c r="V33" i="11"/>
  <c r="O33" i="11"/>
  <c r="Z33" i="11"/>
  <c r="H18" i="1"/>
  <c r="C40" i="11"/>
  <c r="AC25" i="11"/>
  <c r="I49" i="11"/>
  <c r="AC11" i="11"/>
  <c r="I29" i="11"/>
  <c r="Q29" i="11"/>
  <c r="U29" i="11"/>
  <c r="J29" i="11"/>
  <c r="P29" i="11"/>
  <c r="AB29" i="11"/>
  <c r="N29" i="11"/>
  <c r="R29" i="11"/>
  <c r="G29" i="11"/>
  <c r="L29" i="11"/>
  <c r="Z29" i="11"/>
  <c r="X29" i="11"/>
  <c r="K29" i="11"/>
  <c r="S29" i="11"/>
  <c r="W29" i="11"/>
  <c r="T29" i="11"/>
  <c r="M29" i="11"/>
  <c r="H29" i="11"/>
  <c r="F29" i="11"/>
  <c r="AA29" i="11"/>
  <c r="V29" i="11"/>
  <c r="Y29" i="11"/>
  <c r="E29" i="11"/>
  <c r="O29" i="11"/>
  <c r="AC23" i="11"/>
  <c r="AC37" i="11"/>
  <c r="AC33" i="11" l="1"/>
  <c r="H32" i="1"/>
  <c r="C42" i="11" s="1"/>
  <c r="Z41" i="11"/>
  <c r="V41" i="11"/>
  <c r="R41" i="11"/>
  <c r="N41" i="11"/>
  <c r="J41" i="11"/>
  <c r="F41" i="11"/>
  <c r="Y41" i="11"/>
  <c r="U41" i="11"/>
  <c r="Q41" i="11"/>
  <c r="M41" i="11"/>
  <c r="I41" i="11"/>
  <c r="E41" i="11"/>
  <c r="AB41" i="11"/>
  <c r="X41" i="11"/>
  <c r="T41" i="11"/>
  <c r="P41" i="11"/>
  <c r="L41" i="11"/>
  <c r="H41" i="11"/>
  <c r="AA41" i="11"/>
  <c r="W41" i="11"/>
  <c r="S41" i="11"/>
  <c r="O41" i="11"/>
  <c r="K41" i="11"/>
  <c r="G41" i="11"/>
  <c r="J49" i="11"/>
  <c r="AC29" i="11"/>
  <c r="AC41" i="11" l="1"/>
  <c r="E43" i="11"/>
  <c r="W43" i="11"/>
  <c r="W44" i="11" s="1"/>
  <c r="AB43" i="11"/>
  <c r="AB44" i="11" s="1"/>
  <c r="G43" i="11"/>
  <c r="G44" i="11" s="1"/>
  <c r="K43" i="11"/>
  <c r="K44" i="11" s="1"/>
  <c r="O43" i="11"/>
  <c r="O44" i="11" s="1"/>
  <c r="S43" i="11"/>
  <c r="S44" i="11" s="1"/>
  <c r="Q43" i="11"/>
  <c r="Q44" i="11" s="1"/>
  <c r="P43" i="11"/>
  <c r="P44" i="11" s="1"/>
  <c r="L43" i="11"/>
  <c r="L44" i="11" s="1"/>
  <c r="F43" i="11"/>
  <c r="F44" i="11" s="1"/>
  <c r="J43" i="11"/>
  <c r="J44" i="11" s="1"/>
  <c r="N43" i="11"/>
  <c r="N44" i="11" s="1"/>
  <c r="M43" i="11"/>
  <c r="M44" i="11" s="1"/>
  <c r="AA43" i="11"/>
  <c r="AA44" i="11" s="1"/>
  <c r="Z43" i="11"/>
  <c r="Z44" i="11" s="1"/>
  <c r="H43" i="11"/>
  <c r="H44" i="11" s="1"/>
  <c r="Y43" i="11"/>
  <c r="Y44" i="11" s="1"/>
  <c r="I43" i="11"/>
  <c r="I44" i="11" s="1"/>
  <c r="R43" i="11"/>
  <c r="R44" i="11" s="1"/>
  <c r="V43" i="11"/>
  <c r="V44" i="11" s="1"/>
  <c r="T43" i="11"/>
  <c r="T44" i="11" s="1"/>
  <c r="X43" i="11"/>
  <c r="X44" i="11" s="1"/>
  <c r="U43" i="11"/>
  <c r="U44" i="11" s="1"/>
  <c r="C44" i="11"/>
  <c r="K49" i="11"/>
  <c r="F20" i="6" l="1"/>
  <c r="E21" i="6" s="1"/>
  <c r="AC43" i="11"/>
  <c r="AC44" i="11" s="1"/>
  <c r="E44" i="11"/>
  <c r="E50" i="11" s="1"/>
  <c r="F50" i="11" s="1"/>
  <c r="L49" i="11"/>
  <c r="E31" i="6" l="1"/>
  <c r="H28" i="1"/>
  <c r="E51" i="11"/>
  <c r="G50" i="11"/>
  <c r="F51" i="11"/>
  <c r="M49" i="11"/>
  <c r="H48" i="1" l="1"/>
  <c r="H49" i="1" s="1"/>
  <c r="G20" i="6" s="1"/>
  <c r="H33" i="1"/>
  <c r="H50" i="11"/>
  <c r="G51" i="11"/>
  <c r="N49" i="11"/>
  <c r="G38" i="1" l="1"/>
  <c r="G40" i="1" s="1"/>
  <c r="I50" i="11"/>
  <c r="H51" i="11"/>
  <c r="O49" i="11"/>
  <c r="J50" i="11" l="1"/>
  <c r="I51" i="11"/>
  <c r="P49" i="11"/>
  <c r="K50" i="11" l="1"/>
  <c r="J51" i="11"/>
  <c r="Q49" i="11"/>
  <c r="L50" i="11" l="1"/>
  <c r="K51" i="11"/>
  <c r="R49" i="11"/>
  <c r="M50" i="11" l="1"/>
  <c r="L51" i="11"/>
  <c r="S49" i="11"/>
  <c r="N50" i="11" l="1"/>
  <c r="M51" i="11"/>
  <c r="T49" i="11"/>
  <c r="O50" i="11" l="1"/>
  <c r="N51" i="11"/>
  <c r="U49" i="11"/>
  <c r="P50" i="11" l="1"/>
  <c r="O51" i="11"/>
  <c r="V49" i="11"/>
  <c r="Q50" i="11" l="1"/>
  <c r="P51" i="11"/>
  <c r="W49" i="11"/>
  <c r="R50" i="11" l="1"/>
  <c r="Q51" i="11"/>
  <c r="X49" i="11"/>
  <c r="S50" i="11" l="1"/>
  <c r="R51" i="11"/>
  <c r="Y49" i="11"/>
  <c r="T50" i="11" l="1"/>
  <c r="S51" i="11"/>
  <c r="Z49" i="11"/>
  <c r="U50" i="11" l="1"/>
  <c r="T51" i="11"/>
  <c r="AA49" i="11"/>
  <c r="V50" i="11" l="1"/>
  <c r="U51" i="11"/>
  <c r="AB49" i="11"/>
  <c r="W50" i="11" l="1"/>
  <c r="V51" i="11"/>
  <c r="X50" i="11" l="1"/>
  <c r="W51" i="11"/>
  <c r="Y50" i="11" l="1"/>
  <c r="X51" i="11"/>
  <c r="Z50" i="11" l="1"/>
  <c r="Y51" i="11"/>
  <c r="AA50" i="11" l="1"/>
  <c r="Z51" i="11"/>
  <c r="AB50" i="11" l="1"/>
  <c r="AB51" i="11" s="1"/>
  <c r="AA5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100-000001000000}">
      <text>
        <r>
          <rPr>
            <b/>
            <sz val="9"/>
            <color rgb="FF000000"/>
            <rFont val="Segoe UI"/>
            <family val="2"/>
            <charset val="1"/>
          </rPr>
          <t>NÃO ALTERAR COLUNA "D"</t>
        </r>
      </text>
    </comment>
  </commentList>
</comments>
</file>

<file path=xl/sharedStrings.xml><?xml version="1.0" encoding="utf-8"?>
<sst xmlns="http://schemas.openxmlformats.org/spreadsheetml/2006/main" count="586" uniqueCount="447">
  <si>
    <t>DADOS PARA ELABORAÇÃO DO EDITAL E DO CONTRATO  -  ANTES DA MATRICULA</t>
  </si>
  <si>
    <t>PROJETO:</t>
  </si>
  <si>
    <t>Nº:</t>
  </si>
  <si>
    <t>Período de Realização:</t>
  </si>
  <si>
    <t>Duração do Curso (em meses) (DC)</t>
  </si>
  <si>
    <t>Quantidade de Vagas (QV)</t>
  </si>
  <si>
    <t>Apoio Técnico:</t>
  </si>
  <si>
    <t>(ver em Recursos Humanos UTFPR)</t>
  </si>
  <si>
    <t>DESPESAS</t>
  </si>
  <si>
    <t>1 – Pessoal</t>
  </si>
  <si>
    <t>Valor Total (R$) (C)=AxB</t>
  </si>
  <si>
    <r>
      <rPr>
        <b/>
        <sz val="10"/>
        <color rgb="FF000000"/>
        <rFont val="Arial"/>
        <family val="2"/>
        <charset val="1"/>
      </rPr>
      <t>1.1 – Pessoal = (</t>
    </r>
    <r>
      <rPr>
        <sz val="10"/>
        <color rgb="FF000000"/>
        <rFont val="Arial"/>
        <family val="2"/>
        <charset val="1"/>
      </rPr>
      <t>1.1.1 + 1.1.2)</t>
    </r>
  </si>
  <si>
    <t>1.1.1 – Pessoal - Servidor</t>
  </si>
  <si>
    <t>1.1.2 – Pessoal - Externo</t>
  </si>
  <si>
    <t>2 – Despesas Operacionais</t>
  </si>
  <si>
    <t>Despesa</t>
  </si>
  <si>
    <t>Elemento de despesa</t>
  </si>
  <si>
    <t>Valor (R$)</t>
  </si>
  <si>
    <t xml:space="preserve">2.1 – Diárias </t>
  </si>
  <si>
    <t xml:space="preserve">2.2 – Passagens </t>
  </si>
  <si>
    <t xml:space="preserve">2.3 – Material de consumo </t>
  </si>
  <si>
    <t xml:space="preserve">2.4 - Serviços de Pessoa Física </t>
  </si>
  <si>
    <t xml:space="preserve">2.5 – Serviços de Pessoa Jurídica </t>
  </si>
  <si>
    <t xml:space="preserve">2.6 - Equipamentos e Material Permanente </t>
  </si>
  <si>
    <t>2.7 - Bolsas</t>
  </si>
  <si>
    <t>Total 2</t>
  </si>
  <si>
    <t>3 – Custos Operacionais</t>
  </si>
  <si>
    <t>Total 3</t>
  </si>
  <si>
    <t>Cálculo do VCA (Valor cobrado por aluno)</t>
  </si>
  <si>
    <t>Alunos</t>
  </si>
  <si>
    <t>Quantidade</t>
  </si>
  <si>
    <t>ID= Índice de desistência (%)</t>
  </si>
  <si>
    <t>VCA = VTD / ((NMV)*(1-ID)</t>
  </si>
  <si>
    <t>Total</t>
  </si>
  <si>
    <t>Vagas Preferenciais</t>
  </si>
  <si>
    <t xml:space="preserve">N° Mínimo (= 0,9 do numero de vagas ofertadas a alunos pagantes) </t>
  </si>
  <si>
    <t>Valor a vista:</t>
  </si>
  <si>
    <t>Inteiro</t>
  </si>
  <si>
    <t>ATENÇÃO: PREENCHER SOMENTE APÓS A MATRÍCULA PARA DETERMINAR OS VALORES A SEREM INSERIDOS NA MINUTA. Ajustar a aba investimento</t>
  </si>
  <si>
    <t>Núm. de alunos efetivaram matricula</t>
  </si>
  <si>
    <t>Valor para aquisição de equipamentos</t>
  </si>
  <si>
    <t>Valor do contrato</t>
  </si>
  <si>
    <t>Matrícula</t>
  </si>
  <si>
    <t>Valor da UTFPR (3%)</t>
  </si>
  <si>
    <t>Parcelas</t>
  </si>
  <si>
    <t>Valor a ser executado (PF+DO)</t>
  </si>
  <si>
    <t>Investimento</t>
  </si>
  <si>
    <t>PLANILHA DE CUSTOS: Serividores da UTFPR</t>
  </si>
  <si>
    <t>Obs</t>
  </si>
  <si>
    <t xml:space="preserve"> Recursos Humanos da UTFPR</t>
  </si>
  <si>
    <t>SERVIDOR</t>
  </si>
  <si>
    <t>FUNÇÃO</t>
  </si>
  <si>
    <t>QT. HORAS AULA ou MESES</t>
  </si>
  <si>
    <t>VALOR H/A (R$)</t>
  </si>
  <si>
    <t>CUSTO DO ITEM  (R$)</t>
  </si>
  <si>
    <t>Docente Mestrado</t>
  </si>
  <si>
    <t>Docente Doutorado</t>
  </si>
  <si>
    <t>3) Na coluna 'FUNÇÃO" deverão ser selecionados os itens, não podendo ser digitados categorias diferentes das estabelecidas.;</t>
  </si>
  <si>
    <t>DOC.MEST</t>
  </si>
  <si>
    <t>DOC.ESP</t>
  </si>
  <si>
    <t>APER/GRAD</t>
  </si>
  <si>
    <t>COORD.</t>
  </si>
  <si>
    <t>SECRET</t>
  </si>
  <si>
    <t>APOIO TEC.</t>
  </si>
  <si>
    <t>ORIENTAD</t>
  </si>
  <si>
    <t>BANCA</t>
  </si>
  <si>
    <t>TUTOR</t>
  </si>
  <si>
    <t>ELABOR</t>
  </si>
  <si>
    <t>Docente Especialista</t>
  </si>
  <si>
    <t>Coordenador de Cursos de Especialização</t>
  </si>
  <si>
    <t>Secretariado de Cursos de Especialização</t>
  </si>
  <si>
    <t>ApoioTécnico de Cursos de Especialização</t>
  </si>
  <si>
    <t>Orientador de Monografia</t>
  </si>
  <si>
    <t>TOTAL  (R$)</t>
  </si>
  <si>
    <t>Titulação</t>
  </si>
  <si>
    <t>Aperfeiçoaento/Graduado</t>
  </si>
  <si>
    <t>Banca de TCC</t>
  </si>
  <si>
    <t>Tutor</t>
  </si>
  <si>
    <t>Elaborador/Revisor de Material Didático</t>
  </si>
  <si>
    <t xml:space="preserve">                                                   </t>
  </si>
  <si>
    <t>PLANILHA DE CUSTOS: PESSOA FÍSICA (COLABORADOR E SERVIÇOS)</t>
  </si>
  <si>
    <t>SERVIÇOS DE TERCEIROS - PESSOA FÍSICA</t>
  </si>
  <si>
    <t>PESSOA</t>
  </si>
  <si>
    <t>DESCRIÇÃO DAS SERVIÇOS A SEREM REALIZADOS</t>
  </si>
  <si>
    <t>QUANT.</t>
  </si>
  <si>
    <t>PREÇO UNITÁRIO  (R$)</t>
  </si>
  <si>
    <t>COLABORADOR EXTERNO - PESSOA FÍSICA</t>
  </si>
  <si>
    <t>PLANILHA DE CUSTOS: SERVIÇOS DE TERCEIROS - PESSOA JURÍDICA</t>
  </si>
  <si>
    <t>SERVIÇOS DE TERCEIROS - PESSOA JURÍDICA</t>
  </si>
  <si>
    <t>DESCRIÇÃO DETALHADA DOS SERVIÇOS A SEREM REALIZADOS</t>
  </si>
  <si>
    <t>CUSTO ESTIMADO DO SERVIÇO (R$)</t>
  </si>
  <si>
    <t>PLANILHA DE CUSTOS: INVESTIMENTO</t>
  </si>
  <si>
    <t>MATERIAL PERMANENTE - PROJETO INICIAL</t>
  </si>
  <si>
    <t>CUSTO DO ITEM (R$)</t>
  </si>
  <si>
    <t>MATERIAL PERMANENTE - SALDO DESISTÊNCIA</t>
  </si>
  <si>
    <t>SALDO</t>
  </si>
  <si>
    <t>Saldo pós matricula</t>
  </si>
  <si>
    <t>TOTAL (R$)</t>
  </si>
  <si>
    <t>DESCRIÇÃO</t>
  </si>
  <si>
    <t>PLANILHA DE CUSTOS: DIÁRIAS E PASSAGENS</t>
  </si>
  <si>
    <t>DIÁRIAS</t>
  </si>
  <si>
    <t>SERVIDOR / EXTERNO</t>
  </si>
  <si>
    <t>DESCRIÇÃO DAS JUSTIFICATIVAS DA CONCESSÃO  (somente 1 linha para cada item)</t>
  </si>
  <si>
    <t>QUNT.</t>
  </si>
  <si>
    <t>VALOR UNITÁRIO (R$)</t>
  </si>
  <si>
    <t>Capacitação docente, visitas técnicas</t>
  </si>
  <si>
    <t>EXTERNO</t>
  </si>
  <si>
    <t>PASSAGENS</t>
  </si>
  <si>
    <t>PLANILHA DE CUSTOS: MATERIAL DE CONSUMO</t>
  </si>
  <si>
    <t>MATERIAL DE CONSUMO</t>
  </si>
  <si>
    <t>ITEM</t>
  </si>
  <si>
    <t>Material</t>
  </si>
  <si>
    <t>Obs: Os materias deverão ser especificados por familia de material. Na aba "Consumo - especificação" estão detalhados os materiais que compõe cada famila ne material de custeio.</t>
  </si>
  <si>
    <t>PLANILHA DE CUSTOS: ESTAGIÁRIOS</t>
  </si>
  <si>
    <t>ESTAGIÁRIOS</t>
  </si>
  <si>
    <t xml:space="preserve">Setor/Àrea </t>
  </si>
  <si>
    <t>Qt. Estagiários (A)</t>
  </si>
  <si>
    <t>BOLSA</t>
  </si>
  <si>
    <t>VALE TRANSPORTE</t>
  </si>
  <si>
    <t>Custo Total (Bolsa + VT) R$</t>
  </si>
  <si>
    <t>Carga Horária Mensal</t>
  </si>
  <si>
    <t>Total de meses (B)</t>
  </si>
  <si>
    <t>Valor mensal (R$) (C)</t>
  </si>
  <si>
    <t>Valor Total (R$) (D)=AxBxC</t>
  </si>
  <si>
    <t>JUSTIFICATIVA</t>
  </si>
  <si>
    <t>BOLSAS</t>
  </si>
  <si>
    <t>DESCRIÇÃO DETALHADA DAS BOLSAS A SEREM OFERTADAS</t>
  </si>
  <si>
    <t>Pagamento</t>
  </si>
  <si>
    <t>Valor Previsto</t>
  </si>
  <si>
    <t>Meses de duração da atividade</t>
  </si>
  <si>
    <t>Coordenador</t>
  </si>
  <si>
    <t>%</t>
  </si>
  <si>
    <t>Valor</t>
  </si>
  <si>
    <t>Secretaria</t>
  </si>
  <si>
    <t>Apoio Técnico</t>
  </si>
  <si>
    <t>Banca de Tcc</t>
  </si>
  <si>
    <t>Orientação de Monografia</t>
  </si>
  <si>
    <t>Estagiários</t>
  </si>
  <si>
    <t>Pagamento - Pessoa Física</t>
  </si>
  <si>
    <t>Pagamento - Pessoa Física - externo</t>
  </si>
  <si>
    <t>Material de Consumo</t>
  </si>
  <si>
    <t>Serviços - pessoa Jurídica</t>
  </si>
  <si>
    <t>Passagens</t>
  </si>
  <si>
    <t>Quantidade de alunos pagantes</t>
  </si>
  <si>
    <t>Valor da Mensalidade</t>
  </si>
  <si>
    <t>NIVEL DE ESCOLARIDADE</t>
  </si>
  <si>
    <t>VALOR DA HORA</t>
  </si>
  <si>
    <t>Doutorado</t>
  </si>
  <si>
    <t>Mestrado</t>
  </si>
  <si>
    <t>Especialista</t>
  </si>
  <si>
    <t>Aperfeiçoamento/Graduado</t>
  </si>
  <si>
    <t>Valor da FCC</t>
  </si>
  <si>
    <t>Carga Horária semanal</t>
  </si>
  <si>
    <t>Valor Mensal (R$)</t>
  </si>
  <si>
    <t>20h</t>
  </si>
  <si>
    <t xml:space="preserve">30h </t>
  </si>
  <si>
    <t>Vale Transporte (dia)</t>
  </si>
  <si>
    <t>Especificação</t>
  </si>
  <si>
    <t>339030.01</t>
  </si>
  <si>
    <t>Combustíveis e Lubrificantes Automotivos</t>
  </si>
  <si>
    <t>Registra o valor das despesas com combustíveis para motores a combustão interna de veículos rodoviários, tratores em geral, embarcações diversas e grupos geradores estacionados ou transportáveis, e todos os óleos lubrificantes destinados aos sistemas hidráulicos, hidramáticos, de caixa de transmissão de força e graxas grafitadas para altas e baixas temperaturas. Aditivos - álcool hidratado - fluido para amortecedor - fluido para transmissão hidráulica - gasolina - graxas - óleo diesel - óleo para cárter - óleo para freio hidráulico e outros</t>
  </si>
  <si>
    <t>339030.04</t>
  </si>
  <si>
    <t>Gás e Outros Materiais Engarrafados</t>
  </si>
  <si>
    <t>Registra o valor das despesas com gás de uso industrial, de tratamento de água, de iluminação, de uso médico, bem como gases nobres para uso em laboratório científico, tais como: acetileno - carbônico Freud - Hélio - hidrogênio - liquefeito de petróleo - nitrogênio - oxigênio e outros. Registra, ainda, o valor das despesas com gás, pó químico, água pressurizada e outros materiais utilizados na recarga de extintores de incêndio.</t>
  </si>
  <si>
    <t>339030.06</t>
  </si>
  <si>
    <t>Alimentos para Animais</t>
  </si>
  <si>
    <t>Registra o valor das despesas com alimentos destinados a gado bovino, equino, muar e bufalino, caprinos, suínos, ovinos, aves de qualquer espécie, como também para animais silvestres em cativeiro (jardins zoológicos ou laboratórios) e outros. Alfafa - alpiste - capim verde - farelo - farinhas em geral - fubá grosso - milho em grão - ração balanceada - sal mineral - suplementos vitamínicos e outros.</t>
  </si>
  <si>
    <t>339030.07</t>
  </si>
  <si>
    <t>Gêneros de Alimentação</t>
  </si>
  <si>
    <t>Registra o valor das despesas com gêneros de alimentação ao natural, beneficiados ou conservados. Açúcar - adoçante - água mineral - bebidas - café - carnes em geral - cereais - chás - condimentos - frutas - gelo - legumes - refrigerantes - sucos - temperos - verduras e outros.</t>
  </si>
  <si>
    <t>339030.11</t>
  </si>
  <si>
    <t>Material Químico</t>
  </si>
  <si>
    <t>Registra o valor das despesas com todos os elementos ou compostos químicos destinados ao fabrico de produtos químicos, análises laboratoriais, bem como aqueles destinados ao combate de pragas ou epizootias. Ácidos - inseticidas - produtos químicos para tratamento de água - reagentes químicos - sais - solventes - substâncias utilizadas para combater insetos, fungos e bactérias e outros.</t>
  </si>
  <si>
    <t>339030.14</t>
  </si>
  <si>
    <t>Material Educativo e Esportivo</t>
  </si>
  <si>
    <t>Registra o valor das despesas com materiais utilizados ou consumidos diretamente nas atividades educativas e esportivas de crianças e adultos. Apitos - bolas - bonés - botas especiais - brinquedos educativos - calções - camisas de malha - chuteiras - cordas - esteiras - joelheiras - luvas - materiais pedagógicos - meias - óculos para motociclistas - patins - quimonos - raquetes - redes para prática de esportes - tênis e sapatilhas - tornozeleiras - touca para natação e outros.</t>
  </si>
  <si>
    <t>339030.16</t>
  </si>
  <si>
    <t>Material de Expediente</t>
  </si>
  <si>
    <t>Registra o valor das despesas com os materiais utilizados diretamente os trabalhos administrativos, nos escritórios públicos, nos centros de estudos e pesquisas, nas escolas, nas universidades etc. agenda - alfinete de aço - almofada p/ carimbos -apagador - apontador de lápis - arquivo p/ disquete - bandeja para papéis - bloco p/ rascunho bobina papel p/ calculadoras - borracha - caderno - caneta - capa e processo - carimbos em geral - cartolina - classificador -clipe - cola - colchete - corretivo - envelope - espátula - estêncil - estilete - extrator de grampos - fita adesiva - fita p/ máquina de escrever e calcular - giz - goma elástica - grafite - grampeador -grampos -guia p/ arquivo - guia de endereçamento postal - impressos e formulário em geral -intercalador p/ fichário - lacre - lápis -lapiseira -limpa tipos - livros de ata, de ponto e de protocolo -papéis - pastas em geral - percevejo - perfurador - pinça - placas de acrílico - plásticos - porta-lápis - registrador - régua - selos p/ correspondência - tesoura - tintas - toner - transparências - etiquetas e outros.</t>
  </si>
  <si>
    <t>339030.17</t>
  </si>
  <si>
    <t>Material de Processamento de Dados</t>
  </si>
  <si>
    <t>Registra o valor das despesas com suprimentos de TI, inclusive peças para reposição. Cartuchos de tinta - capas plásticas protetoras para micros e impressoras - CD-ROM virgem - disquetes - leitora/smartcard - mouse e teclado (reposição) - mouse pad - peças e acessórios para computadores e periféricos - recarga de cartuchos de tinta - toner para impressoras a laser - cartões magnéticos - reposição de leitora/token pen-drive/outros</t>
  </si>
  <si>
    <t>339030.19</t>
  </si>
  <si>
    <t>Material de Acondicionamento e Embalagem</t>
  </si>
  <si>
    <t>Registra o valor das despesas com materiais aplicados diretamente nas preservações, acomodações ou embalagens de qualquer produto. Arame - barbante - caixas plásticas, de madeira, papelão e isopor - cordas - engradados - fitas de aço ou metálicas - fitas gomadoras - garrafas e potes - linha - papel de embrulho - papelão - sacolas - sacos - e outros.</t>
  </si>
  <si>
    <t>339030.21</t>
  </si>
  <si>
    <t>Material de Copa e Cozinha</t>
  </si>
  <si>
    <t>Registra o valor das despesas com materiais utilizados em refeitórios de qualquer tipo, cozinhas residenciais, de hotéis, de hospitais, de escolas, de universidades, de fábricas etc. abridor de garrafa - açucareiros - artigos de vidro e plástico - bandejas - coadores - colheres - copos - ebulidores - facas - farinheiras - fósforos - frigideiras - garfos - garrafas térmicas - paliteiros - panelas - panos de cozinha - papel alumínio - pratos - recipientes para água - suportes de copos p/ cafezinho - tigelas - velas - xícaras - e outros.</t>
  </si>
  <si>
    <t>339030.22</t>
  </si>
  <si>
    <t>Material de Limpeza e Prod. de Higienização</t>
  </si>
  <si>
    <t>Registra o valor das despesas com materiais destinados a higienização pessoal, de ambientes de trabalho, de hospitais etc. álcool etílico - anticorrosivo - aparelho de barbear descartável - balde plástico - bomba p/ inseticida - capacho - cera - cesto p/ lixo - creme dental - desinfetante - desodorizante - detergente - escova de dente - escova p/ roupas e sapatos - espanador - esponja - estopa - flanela - inseticida - lustra-móveis - mangueira - naftalina - pá para lixo - palha de aço - panos p/ limpeza - papel higiênico - pasta para limpeza de utensílios - porta-sabão - removedor - rodo - sabão - sabonete - saco p/ lixo - saponáceo - soda cáustica - toalha de papel - vassoura - e outros</t>
  </si>
  <si>
    <t>339030.24</t>
  </si>
  <si>
    <t>Material p/ Manutenção de Bens Imóveis/Instalações</t>
  </si>
  <si>
    <t>Registra o valor das despesas com materiais de consumo para aplicação, manutenção e reposição de qualquer bem público. Amianto - aparelhos sanitários - arames liso e farpado - areia - basculante - boca de lobo - bóia - brita - brocha - cabo metálico - cal - cano - cerâmica - cimento - cola - condutores de fios – conexões - curvas - esquadrias - fechaduras - ferro - gaxetas - grades - impermeabilizantes - isolantes acústicos e térmicos - janelas - joelhos - ladrilhos - lavatórios - lixas - madeira - marcos de concreto - massa corrida - niple - papel de parede - parafusos - pias - pigmentos - portas e portais - pregos - rolos solventes - sifão - tacos - tampa p/ vaso - tampão de ferro - tanque - tela de estuque - telha - tijolo - tinta - torneira - trincha - tubo de concreto - válvulas - verniz - vidro - aquecedores a gás e outros.</t>
  </si>
  <si>
    <t>339030.25</t>
  </si>
  <si>
    <t>Material p/ Manutenção de Bens Móveis</t>
  </si>
  <si>
    <t>Registra o valor das despesas com materiais de consumo utilizados diretamente na proteção de pessoas ou bens públicos, para socorro de pessoas e animais ou para socorro de veículos, aeronaves e embarcações assim como qualquer outro item aplicado diretamente nas atividades de sobrevivência de pessoas, na selva, no mar ou em sinistros diversos. Botas - cadeados - calcados especiais - capacetes - chaves - cintos - coletes - dedais - guarda-chuvas - lona - luvas - mangueira de lona - máscaras - óculos - cabina de papelão e outros</t>
  </si>
  <si>
    <t>339030.26</t>
  </si>
  <si>
    <t>Material Elétrico e Eletrônico</t>
  </si>
  <si>
    <t>Registra o valor das despesas com materiais de consumo para aplicação, manutenção e reposição dos sistemas, aparelhos e equipamentos elétricos e eletrônicos. Benjamins - bocais - calhas - capacitores e resistores - chaves de ligação - circuitos eletrônicos - condutores - componentes de aparelho eletrônico - diodos - disjuntores - eletrodos - eliminador de pilhas - espelhos para interruptores - fios e cabos - fita isolante – fusíveis - interruptores - lâmpadas e luminárias - pilhas e baterias - pinos e plugs - placas de baquelite - reatores - receptáculos - resistências - starts - suportes - tomada de corrente - e outros.</t>
  </si>
  <si>
    <t>339030.29</t>
  </si>
  <si>
    <t>Material p/ Áudio, Vídeo e Foto</t>
  </si>
  <si>
    <t>Registra o valor das despesas com materiais de consumo de emprego direto em filmagem e revelação, ampliações e reproduções de sons e imagens. Aetze especial p/ chapa de papel - álbuns p/ retratos - alto-falantes - antenas - artigos para gravação em acetato - filmes virgens – fitas virgens de áudio e vídeo - lâmpadas especiais - material p/ radiografia, microfilmagem e cinematografia - molduras - papel p/ revelação de fotografias - pegadores - reveladores - e outros.</t>
  </si>
  <si>
    <t>339030.30</t>
  </si>
  <si>
    <t>Material para Comunicações</t>
  </si>
  <si>
    <t>Registra o valor das despesas com materiais utilizados em comunicações assim como os componentes, circuitos impressos ou integrados, peças ou acessórios de reposição, chips, e partes de equipamentos de comunic. materiais para instalações: radiofônicas, radiotelegráficas, telegráficas e outro</t>
  </si>
  <si>
    <t>339030.31</t>
  </si>
  <si>
    <t>Sementes, Mudas de Plantas e</t>
  </si>
  <si>
    <t>Registra o valor das despesas com qualquer tipo de semente destinada a ao plantio e mudas de plantas frutíferas ou ornamentais, assim como todos os insumos utilizados para fertilização. Adubos - argila - plantas ornamentais - borbulhas - bulbos – enxertos - fertilizantes - mudas envasadas ou com raízes nuas - sementes - terra - tubérculos - xaxim - e outros.</t>
  </si>
  <si>
    <t>339030.35</t>
  </si>
  <si>
    <t>Material Laboratorial</t>
  </si>
  <si>
    <t>Registra o valor das despesas com todos os utensílios usados em análises laboratoriais. Almofarizes - bastões - bico de gás - cálices - corantes - filtros de papel - fixadoras - frascos - funis - garra metálica - lâminas de vidro p/ microscópio - lâmpadas especiais - luvas de borracha – metais e metalóides p/ análise - pinças - rolhas - vidraria: balão volumétrico - Becker - conta-gotas - erlemeyer - pipeta - proveta – termômetro - tubo de ensaio - material de laboratório didático e outros.</t>
  </si>
  <si>
    <t>339030.36</t>
  </si>
  <si>
    <t>Material Hospitalar</t>
  </si>
  <si>
    <t>Registra o valor das despesas com todos os materiais de consumo utilizados na área hospitalar ou ambulatorial. Agulhas hipodérmicas - algodão - canulas - cateteres - compressa de gaze - drenos - esparadrapo - fios cirúrgicos - lâminas p/ bisturi - luvas - seringas - termômetro clínica - e outros.</t>
  </si>
  <si>
    <t>339030.39</t>
  </si>
  <si>
    <t>Material p/ Manutenção de Veículos</t>
  </si>
  <si>
    <t>Registra o valor das despesas com materiais para aplicação e manutenção de veículos rodoviários, viaturas blindadas e tratores em geral. Água destilada - amortecedores - baterias - borrachas - buzina – cabos de acelerador - cabos de embreagem - câmara de ar - carburador completo - coifa - colar de embreagem - condensador e platinado – correias - disco de embreagem - ignição - junta homocinética - lâmpadas e lanternas p/ veículos - lonas e pastilhas de freio - mangueiras - material utilizado em lanternagem e pintura - motor de reposição - pára-brisa - pára-choque - platô - pneus - reparos – retentores - retrovisores - rolamentos - tapetes - válvula da marcha lenta e termostática - velas - e outros.</t>
  </si>
  <si>
    <t>339030.40</t>
  </si>
  <si>
    <t>Material Biológico</t>
  </si>
  <si>
    <t>Registra o valor das despesas com amostras e outros itens de materiais biológicos utilizados em estudos e pesquisas científicas em seres vivos e inseminação artificial. Meios de cultura - sêmen - e outros</t>
  </si>
  <si>
    <t>339030.41</t>
  </si>
  <si>
    <t>Material p/ Utilização em Gráfica</t>
  </si>
  <si>
    <t>Registra o valor das despesas com todos os materiais de consumo de uso gráfico, tais como: chapas de off-set - clichês - cola - espirais - fotolitos – logotipos - papel - solventes - tinta - tipos - e outros.</t>
  </si>
  <si>
    <t>339030.42</t>
  </si>
  <si>
    <t>Ferramentas</t>
  </si>
  <si>
    <t>Registra o valor das despesas com todos os tipos de ferramentas utilizadas em oficinas, carpintarias, jardins etc. alicate - broca - caixa p/ ferramentas - canivete - chaves em geral - enxada - espátulas - ferro de solda - foice - lamina de serra - lima - machado - martelo - pá - picareta - ponteira - prumo - serrote - tesoura de podar - trena - e outros.</t>
  </si>
  <si>
    <t>339030.47</t>
  </si>
  <si>
    <t>Software - Produto</t>
  </si>
  <si>
    <t>Registra o valor das despesas com aquisição de software pronto, por meio de contrato de adesão (software de prateleira</t>
  </si>
  <si>
    <t>339030.56</t>
  </si>
  <si>
    <t>Tecnologia da Informação</t>
  </si>
  <si>
    <t>Registra o valor das despesas com aquisição de materiais a serem utilizados em ações de tecnologia da informação, tais como os utilizados no funcionamento e manutenção de sistemas de processamento de dados, inclusive peças para reposição. Aquisição de softwares de base cartuchos de tinta - capas plásticas protetoras para micros e impressoras - CD-ROM virgem – disquetes - leitora/smartcard - mouse e teclado (reposição) - mouse pad - peças e acessórios para computadores e periféricos - recarga de cartuchos de tinta - toner para impressoras a laser - cartões magnéticos –reposição de leitora/token pen-drive/outros. Atenção: valores classificados nesta conta devem ser reclassificados para subitem específico.</t>
  </si>
  <si>
    <t>dd/mm/aaaa a dd/mm/aaaa</t>
  </si>
  <si>
    <t>Docente Doutor</t>
  </si>
  <si>
    <t>Docente Mestre</t>
  </si>
  <si>
    <t>Palestrante</t>
  </si>
  <si>
    <t>Secretariado</t>
  </si>
  <si>
    <t xml:space="preserve">     a) Coordenador, Secretaria, Apoio Técnico e Tutoria: quantidade em meses;</t>
  </si>
  <si>
    <t>Estes valores serão automaticamente inseridos na Coluna VALOR H/A;</t>
  </si>
  <si>
    <t>2)  Na Tabela abaixo, esta referenciado o valor máximo a ser pagao por categoria, devendo o Coordenador estabelecer os valores a serem pagos no Projeto.</t>
  </si>
  <si>
    <t xml:space="preserve">SUB-ITEM </t>
  </si>
  <si>
    <t xml:space="preserve">NOMENCLATURA </t>
  </si>
  <si>
    <t xml:space="preserve">DESCRIÇÃO </t>
  </si>
  <si>
    <r>
      <t>Servidor com titulação de Doutor</t>
    </r>
    <r>
      <rPr>
        <sz val="12"/>
        <color rgb="FF000000"/>
        <rFont val="Calibri"/>
        <family val="2"/>
      </rPr>
      <t xml:space="preserve">: até 4,0 (quatro) vezes a hora do vencimento básico, acrescido da retribuição por titulação do Docente da carreira de Magistério Superior, Classe </t>
    </r>
    <r>
      <rPr>
        <b/>
        <sz val="12"/>
        <color rgb="FF000000"/>
        <rFont val="Calibri"/>
        <family val="2"/>
      </rPr>
      <t xml:space="preserve">E </t>
    </r>
    <r>
      <rPr>
        <sz val="12"/>
        <color rgb="FF000000"/>
        <rFont val="Calibri"/>
        <family val="2"/>
      </rPr>
      <t xml:space="preserve">(Titular), com Dedicação Exclusiva; </t>
    </r>
  </si>
  <si>
    <r>
      <t>Servidor com titulação de Mestre</t>
    </r>
    <r>
      <rPr>
        <sz val="12"/>
        <color rgb="FF000000"/>
        <rFont val="Calibri"/>
        <family val="2"/>
      </rPr>
      <t xml:space="preserve">: até 4,0 (quatro) vezes a hora do vencimento básico, acrescido da retribuição por titulação do Docente da carreira de Magistério Superior, Classe </t>
    </r>
    <r>
      <rPr>
        <b/>
        <sz val="12"/>
        <color rgb="FF000000"/>
        <rFont val="Calibri"/>
        <family val="2"/>
      </rPr>
      <t>C</t>
    </r>
    <r>
      <rPr>
        <sz val="12"/>
        <color rgb="FF000000"/>
        <rFont val="Calibri"/>
        <family val="2"/>
      </rPr>
      <t xml:space="preserve">, com Dedicação Exclusiva; </t>
    </r>
  </si>
  <si>
    <r>
      <t>Servidor com titulação de Especialista</t>
    </r>
    <r>
      <rPr>
        <sz val="12"/>
        <color rgb="FF000000"/>
        <rFont val="Calibri"/>
        <family val="2"/>
      </rPr>
      <t xml:space="preserve">: até 4,0 (quatro) vezes a hora do vencimento básico, acrescido da retribuição por titulação do Docente da carreira de Magistério Superior, Classe </t>
    </r>
    <r>
      <rPr>
        <b/>
        <sz val="12"/>
        <color rgb="FF000000"/>
        <rFont val="Calibri"/>
        <family val="2"/>
      </rPr>
      <t>B</t>
    </r>
    <r>
      <rPr>
        <sz val="12"/>
        <color rgb="FF000000"/>
        <rFont val="Calibri"/>
        <family val="2"/>
      </rPr>
      <t xml:space="preserve">, com Dedicação Exclusiva; </t>
    </r>
  </si>
  <si>
    <r>
      <t>Servidor com Aperfeiçoamento ou titulação de Graduado</t>
    </r>
    <r>
      <rPr>
        <sz val="12"/>
        <color rgb="FF000000"/>
        <rFont val="Calibri"/>
        <family val="2"/>
      </rPr>
      <t xml:space="preserve">: até 4,0 (quatro)vezes a hora do vencimento básico, acrescido da retribuição por titulação do Docente da carreira de Magistério Superior, Classe </t>
    </r>
    <r>
      <rPr>
        <b/>
        <sz val="12"/>
        <color rgb="FF000000"/>
        <rFont val="Calibri"/>
        <family val="2"/>
      </rPr>
      <t>A</t>
    </r>
    <r>
      <rPr>
        <sz val="12"/>
        <color rgb="FF000000"/>
        <rFont val="Calibri"/>
        <family val="2"/>
      </rPr>
      <t xml:space="preserve">, com Dedicação Exclusiva; </t>
    </r>
  </si>
  <si>
    <t>Horas/mês:</t>
  </si>
  <si>
    <t>Nome Elaborador/Revisor de Material Didátio 1</t>
  </si>
  <si>
    <t>Nome Elaborador/Revisor de Material Didátio n</t>
  </si>
  <si>
    <t>Estagiário  - Nivel superior - Todos os Campi</t>
  </si>
  <si>
    <t xml:space="preserve">     d) Elaboração e/ou Revisão de material didático: quantidade em horas. </t>
  </si>
  <si>
    <t>Nome Apoio Técnico 1</t>
  </si>
  <si>
    <t>Nome Tutor 1</t>
  </si>
  <si>
    <t xml:space="preserve">     b) TCC: quantidade de trabalhos orientados; </t>
  </si>
  <si>
    <t xml:space="preserve">     c) Bancas de TCC: quantidade de bancas multiplicados pelo número de membros por banca;</t>
  </si>
  <si>
    <t>Secretário(a):</t>
  </si>
  <si>
    <t>Coordenador(a):</t>
  </si>
  <si>
    <t>Nome Coordenador(a)</t>
  </si>
  <si>
    <t>Nome Serviços de Terceiros 1</t>
  </si>
  <si>
    <t>Nome Projeto</t>
  </si>
  <si>
    <t>Número Turma</t>
  </si>
  <si>
    <t>Quantidade/mês (E)</t>
  </si>
  <si>
    <t>Valor Unitário (R$) (F)</t>
  </si>
  <si>
    <t>Total (R$) (G)=BxExF</t>
  </si>
  <si>
    <t>Bolsa de Mestrado CAPES 2021</t>
  </si>
  <si>
    <t>Bolsa de Doutorado CAPES 2021</t>
  </si>
  <si>
    <t>Justificativa</t>
  </si>
  <si>
    <t>Diárias</t>
  </si>
  <si>
    <t>Obs: Os materias deverão ser especificados por familia de material. Na aba "Investimento - especificação" estão detalhados os materiais que compõe cada famila ne material de custeio.</t>
  </si>
  <si>
    <t xml:space="preserve">Nome Serviços de Terceiros 2 </t>
  </si>
  <si>
    <t>Nome Serviços de Terceiros n</t>
  </si>
  <si>
    <t>Serviços Bancários</t>
  </si>
  <si>
    <t>Custo TED Pagamentos</t>
  </si>
  <si>
    <t>Custo Boleto Alunos</t>
  </si>
  <si>
    <t>Número de Parcelas (incluindo a matrícula) vezes o número de alunos + quantidade estimada (50) de TED para pagamento de pessoal.</t>
  </si>
  <si>
    <t>Obs.:</t>
  </si>
  <si>
    <t>Custo Emissão Crachá</t>
  </si>
  <si>
    <t>Serviços de Seleção e Treinamento</t>
  </si>
  <si>
    <t>Serviços Técnicos Profissionais (elaboração de material didático e técnico)</t>
  </si>
  <si>
    <t>Serviços de Cópia e Reproduções de Documentos (cópias, apostilas etc.)</t>
  </si>
  <si>
    <t>Obs: 
1) o saldo entre o Valor Total das despesas do Projeto (VTD) e o Valor Total Previsto da Arrecadação (VTA) do projeto deverão ser alocados na rubrica de equipamentos. Na aba "Investimento", na planilha "MATERIAL PERMANENTE - SALDO DESISTÊNCIA" deverão ser detalhados os equipamentos a serem adquiridos com tais recursos;
2) O VTA é o valor que deverá constar no Contrato a ser celebrado entre a UTFPR e a FUNTEF-PR para a realização dos Projetos de Ensino.
3) Na celebração do contrato entre a UTFPR e a FUNTEF-PR deverá ser considerado a DOA (15%) sobre os valores do VTA.
4) os recursos definidos no item 1, devem ser aplicados dentro do período estipulado de execução do projeto</t>
  </si>
  <si>
    <t>Serviços de Publicidade Institucional (divulgação do curso)</t>
  </si>
  <si>
    <t xml:space="preserve">Aeronaves </t>
  </si>
  <si>
    <t>14</t>
  </si>
  <si>
    <t xml:space="preserve">Armamentos </t>
  </si>
  <si>
    <t xml:space="preserve">Discotecas e filmotecas </t>
  </si>
  <si>
    <t>20</t>
  </si>
  <si>
    <t xml:space="preserve">Equipamentos de manobra e patrulhamento </t>
  </si>
  <si>
    <t>26</t>
  </si>
  <si>
    <t xml:space="preserve">Equipamentos para audio, video e foto </t>
  </si>
  <si>
    <t xml:space="preserve">Material de tic (permanente) </t>
  </si>
  <si>
    <t xml:space="preserve">Equipamentos de tic - ativos de rede </t>
  </si>
  <si>
    <t xml:space="preserve">Registra o valor das despesas com todos os equipamentos de tic categorizados como ativos de rede: switches, roteadores, firewalls, equipamentos wireless - ap, repeditores e etc, exceto quando for aquisicao de pecas destinadas a reposicao diretamente ao equipamento ou mesmo para estoque. </t>
  </si>
  <si>
    <t xml:space="preserve">Equipamentos de tic - computadores </t>
  </si>
  <si>
    <t xml:space="preserve">Equipamentos de tic - servidores/storage </t>
  </si>
  <si>
    <t xml:space="preserve">Equipamentos de tic - impressoras </t>
  </si>
  <si>
    <t xml:space="preserve">Semoventes e equipamentos de montaria </t>
  </si>
  <si>
    <t xml:space="preserve">Equipamentos de tic - telefonia </t>
  </si>
  <si>
    <t xml:space="preserve">Equipamento e material sigiloso e reservado </t>
  </si>
  <si>
    <t xml:space="preserve">Carros de combate </t>
  </si>
  <si>
    <t xml:space="preserve">Equipamentos de mergulho e salvamento </t>
  </si>
  <si>
    <t xml:space="preserve">Material de consumo de uso duradouro </t>
  </si>
  <si>
    <t xml:space="preserve">Equip.sob.de maq.motor.de navios da esquadra </t>
  </si>
  <si>
    <t xml:space="preserve">Equipamento e material permanente - pagto antecipado </t>
  </si>
  <si>
    <t xml:space="preserve">Aparelhos de medição e orientação </t>
  </si>
  <si>
    <t xml:space="preserve">Aparelhos e equipamentos de comunicação </t>
  </si>
  <si>
    <t xml:space="preserve">Aparelhos, equipapementos ou utensílios médicos, odontológicos, laboratorias e hospit alares </t>
  </si>
  <si>
    <t xml:space="preserve">Aparelhos e equipamentos para esportes e diversões </t>
  </si>
  <si>
    <t xml:space="preserve">Aparelhos e utensílios domésticos </t>
  </si>
  <si>
    <t xml:space="preserve">Coleções e materiais bibliográficos </t>
  </si>
  <si>
    <t xml:space="preserve">Embarcações </t>
  </si>
  <si>
    <t xml:space="preserve">Equipamento de proteção, segurança e socorro </t>
  </si>
  <si>
    <t xml:space="preserve">Instrumentos musicais e artísticos </t>
  </si>
  <si>
    <t xml:space="preserve">Máquinas e equipamentos de natureza industrial </t>
  </si>
  <si>
    <t xml:space="preserve">Máquinas e equipamentos energéticos </t>
  </si>
  <si>
    <t xml:space="preserve">Máquinas e equipamentos gráficos </t>
  </si>
  <si>
    <t xml:space="preserve">Máquinas, utensílios e equipamentos diversos </t>
  </si>
  <si>
    <t xml:space="preserve">Registra o valor das despesas com todas as máquinas, aparelhos e equipamentos que não estejam enquadrados nos demais grupos específicos - aparador de grama - bebedouro - carrinho de feira - container - furadeira - maleta executiva - urna eleitoral - ventilador de coluna e de mesa e outros. </t>
  </si>
  <si>
    <t xml:space="preserve">Máquinas, instalações e utensílios de escritório </t>
  </si>
  <si>
    <t xml:space="preserve">Máquinas, ferramentas e utensílios de oficina </t>
  </si>
  <si>
    <t xml:space="preserve">Equipamentos e utensílios hidráulicos e elétricos </t>
  </si>
  <si>
    <t xml:space="preserve">Máquinas e equipamentos agrícolas e rodoviários </t>
  </si>
  <si>
    <t xml:space="preserve">Mobiliário em geral </t>
  </si>
  <si>
    <t xml:space="preserve">Registra o valor das despesas com os seguintes equipamentos de tic (servidores - storage) exceto quando for aquisição de peças destinadas a reposição diretamente ao equipamento ou mesmo para estoque. </t>
  </si>
  <si>
    <t xml:space="preserve">Obras de arte e peças para exposição </t>
  </si>
  <si>
    <t xml:space="preserve">Veículos diversos </t>
  </si>
  <si>
    <t xml:space="preserve">Registra o valor das despesas com veículos não contemplados em subitens específicos. - bicicleta - carrinho de mão - carroça - charrete - empilhadeira e outros. </t>
  </si>
  <si>
    <t xml:space="preserve">Registra o valor das apropriações das despesas com equipamentos e material permanentes - despesas de carater sigiloso e reservado. </t>
  </si>
  <si>
    <t xml:space="preserve">Veículos ferroviários </t>
  </si>
  <si>
    <t xml:space="preserve">Peças não incorporáveis a imóveis </t>
  </si>
  <si>
    <t xml:space="preserve">Veículos de tração mecânica </t>
  </si>
  <si>
    <t xml:space="preserve">Registra o valor das despesas com veículos utilizados em manobras militares, tais como: - autochoque - blindado - carro-bomba - carro-tanque e outros. </t>
  </si>
  <si>
    <t xml:space="preserve">Equipamentos, peças e acessórios aeronáuticos </t>
  </si>
  <si>
    <t xml:space="preserve">Registra o valor das despesas com equipamentos, peças e acessórios aeronáuticos, tais como: - hélice - microcomputador de bordo - turbina e outros. </t>
  </si>
  <si>
    <t xml:space="preserve">Equipamentos, peças e acessórios de proteção ao vôo </t>
  </si>
  <si>
    <t xml:space="preserve">Registra o valor das despesas com equipamentos, peças e acessórios de proteção ao vôo, tais como: - radar - rádio e outros. </t>
  </si>
  <si>
    <t xml:space="preserve">Acessórios para veículos </t>
  </si>
  <si>
    <t xml:space="preserve">Equipamentos, peças e acessórios marítimos </t>
  </si>
  <si>
    <t xml:space="preserve">Equipamentos e sistema de proteção vigilância ambiental </t>
  </si>
  <si>
    <t xml:space="preserve">Registra o valor das despesas com equipamentos e sistema de proteção e vigilância ambiental. </t>
  </si>
  <si>
    <t xml:space="preserve">Integração dados estados e municípios - safem </t>
  </si>
  <si>
    <t xml:space="preserve">Registra o valor das despesas decorrentes da integração dos balancetes dos estados e municípios. </t>
  </si>
  <si>
    <t xml:space="preserve">Registra o valor das apropriações das despesas com materiais de consumo controlados como de uso duradouro. </t>
  </si>
  <si>
    <t xml:space="preserve">Registra o valor das despesas com componentes de propulsão de navios da esquadra e maquinarias de convés. </t>
  </si>
  <si>
    <t xml:space="preserve">Integração de dados orgãos e entidadades parciais no siafi </t>
  </si>
  <si>
    <t xml:space="preserve">Registra o valor das despesas decorrentes da integração dos balancetes dos órgãos e entidades parciais no siafi. </t>
  </si>
  <si>
    <t xml:space="preserve">Variação cambial negativa </t>
  </si>
  <si>
    <t xml:space="preserve">Registra o valor das despesas com variação cambial, incidente sobre obrigações, decorrentes de cláusula contratual ou de equivalência de moedas na rotina de suprimento de fundos. </t>
  </si>
  <si>
    <t xml:space="preserve">Registra o valor das despesas decorrentes de pagamentos antecipados para posterior prestação de contas. Quando da prestação de contas, o saldo dessa rubrica deverá ser transferido para os subitens específicos, dentro do mesmo grupo. </t>
  </si>
  <si>
    <t>Serviços de Áudio, Vídeo e Foto (inclui confecção de crachá funcional)</t>
  </si>
  <si>
    <t xml:space="preserve">Registra o valor das despesas com qualquer tipo de aeronave de asa fixa ou asa rotativa, inclusive os veículos aéreos não tripulados.
-Avião ­ balão ­ helicóptero ­ planador ­ ultra­leve e outros. </t>
  </si>
  <si>
    <t xml:space="preserve">Registra o valor das despesas com todos os aparelhos de medição ou contagem. Quando estes aparelhos forem incorporados a um equipamento maior serão os mesmos considerados componentes.
- Amperímetro ­ aparelho de medição meteorológica ­ balanças em geral ­ bússola ­ calibrador de pneus - condutivimetro - cronômetro - espectrofotômetro - hidrômetro - magnetômetro - nanômetro - medidor de gás - mira-falante - níveis topográficos - osciloscópio - paquímetro - pirômetro - planimetro - psicrômetro - relógio medidor de luz ­ sonar ­ sonda - taquímetro ­ telêmetro - teodolito - turbimetro - navegador gps e outros. </t>
  </si>
  <si>
    <t xml:space="preserve">Registra o valor das despesas com todo material considerado permanente portátil ou transportável, de uso em comunicações, que não se incorporem em instalações, veículos de qualquer espécie, aeronaves ou embarcações.
- Antena parabólica ­ aparelho de telefonia - bloqueador telefônico - detector de chamadas telefônicas - fax-simile - fonógrafo - interfone - pabx - rádio receptor - rádio telegrafia - rádio telex - rádio transmissor - secretária eletrônica - tele-speaker - e outros. </t>
  </si>
  <si>
    <t xml:space="preserve">Registra o valor das despesas com qualquer aparelho, utensílio ou equipamento de uso médico, odontológico, laboratorial e hospitalar que não se integrem a instalações, ou a outros conjuntos monitores. No caso de fazerem parte de instalações ou outros conjuntos, deverão ser considerados componentes. 
-  Afastador ­ alargador ­ aparelho de esterilização ­ aparelho de raio x ­ aparelho de transfusão de sangue ­ aparelho infravermelho ­ aparelho para inalação ­ aparelho de ultravioleta ­ balanca pediátrica ­ berço aquecido ­ biombo ­ boticão ­ cadeira de dentista ­ cadeira de rodas ­ câmara de infravermelho ­ câmara de oxigênio ­ câmara de radioterapia ­ carro­maca ­ centrifugador ­ destilador ­ eletro­analisador ­ eletro­cardiográfico ­ estetoscópio ­ estufa ­ maca ­ medidor de pressão arterial (esfignomanômetro) ­ megatoscópio ­ mesa para exames clínicos ­ micróscopio ­ tenda de oxigênio ­ termocautério e outros. </t>
  </si>
  <si>
    <t xml:space="preserve">Registra o valor das despesas com instrumentos, aparelhos e utensílios destinados a qualquer modalidade de esportes e diversões de qualquer natureza, desde que não integrados a instalações de ginásios de esportes, centros esportivos, teatro, cinema, etc.
 Arco ­ baliza ­ barco de regata ­ barra ­ bastão ­ bicicleta ergométrica ­ carneiro de madeira ­ carrossel ­ cavalo ­ dardo ­ deslizador ­ disco ­ halteres ­ martelo ­ peso ­ placar ­ remo ­ vara de salto e outros. </t>
  </si>
  <si>
    <t xml:space="preserve">Registra o valor das despesas com aquisição de eletrodomésticos em geral e utensílios domésticos, com durabilidade superior a dois anos, utilizados em órgãos públicos, tais como:
- - Aparelhos de copa e cozinha - aspirador de pó - batedeira - botijão de gás - cafeteira elétrica - chuveiro ou ducha elétrica - circulador de ar - conjunto de chá/café/jantar -escada portátil - encerradeira - exaustor - faqueiro - filtro de água - fogão - forno de microondas - geladeira - grill - liquidificador - máquina de lavar louça - máquina de lavar roupa - máquina de moer café - máquina de secar pratos - secador de prato - tábua de passar roupas - torneira elétrica - umidificador de ar - aparelho de ar condicionados (tipo de embutir, portátil e split) e outros. </t>
  </si>
  <si>
    <t xml:space="preserve">Registra o valor das despesas com todas as armas de porte, portáteis e transportáveis, de tiro tenso. Todas as armas portáteis transportáveis autopropulsionadas, de tiro curvo, centrais de tiro, rebocáveis ou motorizadas, rampas lançadoras de foguetes motorizadas e outros apetrechos belicos.
- Fuzil - metralhadora - pistola - revolver e outras. </t>
  </si>
  <si>
    <t xml:space="preserve">Registra o valor das despesas com coleções bibliográficas de obras científicas, românticas, contos e documentários históricos e outros, mapotecas, dicionários, enciclopédias, periódicos encadernados, etc.
 -Álbum de caráter educativo - coleções e materiais bibliográficos informatizados - dicionários - enciclopédia - ficha bibliográfica - jornal e revista (que constitua documentário) - livro - mapa - material folclórico - partitura musical - publicações e documentos especializados - repertório legislativo e outros. </t>
  </si>
  <si>
    <t xml:space="preserve">Registra o valor das despesas com discos, cd e colecoes de fitas gravadas com músicas e fitas cinematográficas de caráter educativo, científico e informativo.
- Disco educativo - fita de áudio e vídeo com aula de caráter educativo, microfilme e outros. </t>
  </si>
  <si>
    <t xml:space="preserve">Registra o valor das despesas com todas as embarcações fluviais, lacustres ou marítimas exceto os navios graneleiros, petroleiros e transportadores de passageiros que são considerados como bens imóveis.
- Canoa - casa flutuante - chata - lancha - navio - rebocador - traineira e outros. </t>
  </si>
  <si>
    <t xml:space="preserve">Registra o valor das despesas com todos os materiais permanentes utilizados em manobras militares e paramilitares, bem assim, aqueles utilizados em qualquer patrulhamento ostensivo.
- Barraca - bloqueios - cama de campanha - farol de comunicação - mesa de campanha - para-quedas - pistola de sinalização - sirene de campanha e outros. </t>
  </si>
  <si>
    <t xml:space="preserve">Registra o valor das despesas com todos os materiais permanentes utilizados na proteção e segurança de pessoas ou bens públicos, como também qualquer outro utilizado para socorro diverso, ou sobrevivência em qualquer ecossistema.
- Alarme - algema - arma para vigilante - barraca para uso não militar - boia salva-vida - cabine para guarda (guarita) - cofre - extintor de incêndio - para-raio - sinalizador de garagem - porta giratória - circuito interno de televisão, catracas e outros. </t>
  </si>
  <si>
    <t xml:space="preserve">Registra o valor das despesas com todos os instrumentos de cordas, sopro ou percussão, como também outros instrumentos utilizados pelos artistas em geral.
- Clarinete - guitarra - pistão - saxofone - trombone - xilofone e outros. </t>
  </si>
  <si>
    <t xml:space="preserve">Registra o valor das despesas com qualquer máquina, aparelho ou equipamento empregado na fabricação de produtos ou no recondicionamento de outros.
- Balcão frigorífico - betoneira - exaustor industrial - forno e torradeira industrial - geladeira industrial - máquina de fabricação de laticínios - máquina de fabricação de tecidos - e outros. </t>
  </si>
  <si>
    <t xml:space="preserve">Registra o valor das despesas com máquinas, aparelhos e equipamentos não incorporáveis a instalações, destinados a geração de energia de qualquer espécie.
- Alternador energético - carregador de bateria - chave automatica - estabilizador - gerador - haste de contato - no-break - poste de iluminação - retificador - transformador de voltagem - trilho - truck- tunga - turbina (hidrelétrica) e outros. </t>
  </si>
  <si>
    <t xml:space="preserve">Registra o valor das despesas com todas as máquinas, aparelhos e equipamentos utilizados em reprografia ou artes gráficas.
- Aparelho para encadernação - copiadora - cortadeira elétrica - costuradora de papel - duplicadora - grampeadeira - gravadora de extenso - guilhotina - linotipo - máquina de off-set - operadora de ilhoses - picotadeira - teleimpressora e receptadora de páginas e outros. </t>
  </si>
  <si>
    <t xml:space="preserve">Registra o valor das despesas com aquisição de equipamentos de filmagem, gravação e reprodução de sons e imagens, bem com os acessórios de durabilidade superior a dois anos.
- Amplificador de som ­ caixa acústica ­ data show ­ eletrola ­ equalizador de som ­ filmadora ­ flash eletrônico ­ fone de ouvido ­ gravador de som ­ máquina fotográfica ­ microfilmadora ­ microfone ­ objetiva ­ projetor ­ radio ­ rebobinadora ­ retro­projetor ­ sintonizador de som ­ tanques para revelação de filmes ­ tape­deck ­televisor ­ tela para projeção ­ toca­discos ­ video­cassete e outros. </t>
  </si>
  <si>
    <t xml:space="preserve">Registra a despesa orçamentária com aquisição de aparelhos e equipamentos de tic. Material de tic permanente é aquele que, em razão de seu uso corrente não perde a sua identidade física, e/ou tem uma durabilidade superior a dois anos, conforme dispõe o mcasp.
Obs: normalmente as peças de informática devem ser contabilizadas como despesa de capital. Na contabilização de peças de reposição, imediata ou para estoque, deve ser considerada a natureza material de consumo (33903017). Entretanto, quando a aquisição for para substituir partes do computador e implicar relevantes alterações nas caracteristicas funcionais, como, por exemplo, substituição de processador com aumento de velocidade da máquina, a despesa deve ser classificada como de capital (44903017). </t>
  </si>
  <si>
    <t>Registra o valor das despesas com todas as máquinas, aparelhos e utensílios utilizados em escritório e destinados ao auxílio do trabalho administrativo.
- Aparelho rotulador - apontador fixo (de mesa) - caixa registradora - carimbo digitador de metal - compasso - estojo para desenho - globo terrestre - grampeador (exceto de mesa) - maquina autenticadora - máquina de calcular - máquina de contabilidade - máquina de escrever - máquina franqueadora - normografo - pantografo - quebra-luz (luminaria de mesa) - régua de precisão - régua e outros - relógio protocolador.</t>
  </si>
  <si>
    <t xml:space="preserve">Registra o valor das despesas com todas as máquinas, ferramentas e utensílios utilizados em oficinas mecânicas, marcenaria, carpintaria e serralheria, não incluindo ferramentas que não façam parte de um conjunto, nem tão pouco materiais permanentes utilizados em oficinas gráficas.
- Analisador de motores - arcos de serra - bomba para esgotamento de tambores - compressor de ar - conjunto de oxigênio - conjunto de solda - conjunto para lubrificação - desbastadeira - desempenadeira - elevador hidráulico - esmerilhadeira - extrator de precisão - forja - fundidora para confecção de broca - laminadora - lavadora de carro - lixadeira - macaco mecânico e hidráulico - mandril - marcador de velocidade - martelo mecânico - níveis de aço ou madeira - pistola metalizadora - polidora - prensa - rebitadora - recipiente de ferro para combustíveis - saca-pino - serra de bancada - serra mecânica - talhas - tanques para agua - tarracha - testadora - torno mecânico - vulcanizadora e outros. </t>
  </si>
  <si>
    <t xml:space="preserve">Registra o valor das despesas com equipamentos destinados a instalação, conservação e manutenção de sistemas hidráulicos e elétricos.
- Bomba d' água - bomba de desentupimento - bomba de irrigação - bomba de lubrificação - bomba de sucção e elevação de água e de gasolina - carneiro hidráulico - desidratadora - máquina de tratamento de água - máquina de tratamento de esgoto - máquina de tratamento de lixo - moinho - roda d' água e outros. </t>
  </si>
  <si>
    <t xml:space="preserve">Registra o valor das despesas com todas as máquinas, tratores e equipamentos utilizados na agricultura, na construção e conservação de estradas.
- Arado - carregadora - ceifadeira - compactador - conjunto de irrigação - conjunto moto-bomba para irrigação - cultivador - desintegrador - escavadeira - forno e estufa de secagem ou amadurecimento - máquinas de beneficiamento - microtrator - misturador de ração - moinho agrícola - motoniveladora - moto- serra - pasteurizador - picador de forragens - plaina terraceadora - plantadeira - pulverizador - de tração animal ou mecânica - rolo compressor - roçadeira - semeadeira - silo para depósito de cimento - sulcador - trator de roda e esteira e outros. </t>
  </si>
  <si>
    <t xml:space="preserve">Registra o valor das despesas com os seguintes equipamentos de tic:
Desktops, notebooks (computadores portáteis ou ultraportáteis), tablet, projetores, monitores ou tvs (quando utilizados em soluções de tic), exceto quando for aquisição de peças destinadas a reposição diretamente ao equipamento. </t>
  </si>
  <si>
    <t xml:space="preserve">Registra o valor das despesas com móveis destinados ao uso ou decoração interior de ambientes.
- Abajur - aparelho para apoiar os braços - armário - arquivo de aço ou madeira - balcão (tipo atendimento) - banco - banqueta - base para mastro - cadeira - cama - carrinho fichário - carteira e banco escolar - charter negro - cinzeiro com pedestal - colchão ­ criado­mudo - cristaleira - escrivaninha - espelho moldurado ­ estante de madeira ou aço ­ estofado ­ flipsharter ­ guarda­louca ­ guarda roupa ­ mapoteca ­ mesa ­ penteadeira ­ poltrona ­ porta­chapéu ­ prancheta para desenho ­ quadro de chaves ­ quadro imantado ­ quadro para editais e avisos ­ relógio de mesa/parede/ponto ­ roupeiro ­ sofá ­ suporte para tv e vídeo ­ suporte para bandeira (mastro) ­ vitrine ­ e outros. </t>
  </si>
  <si>
    <t xml:space="preserve">Registra o valor das despesas com objetos de valor artístico e histórico destinados a decoração ou exposição em geral (em museus, galerias, hall, prédios públicos e outros)
- Alfaias em louça - documentos e objetos históricos - esculturas - fotos históricas - gravuras - molduras - peças em marfin e cerâmica - pedestais especiais e similares - pinacotecas completas - pinturas em tela - porcelana - tapeçaria - trilhos para exposição de quadros e outros. </t>
  </si>
  <si>
    <t xml:space="preserve">Registra o valor das despesas com os seguintes equipamentos de tic:
Impressoras, multifuncionais, plotters, scanners e leitoras de código de barras, exceto quando for aquisicao de peças destinadas a reposição diretamente ao equipamento ou mesmo para estoque. </t>
  </si>
  <si>
    <t xml:space="preserve">Registra o valor das despesas com animais para trabalho, produção, reprodução ou exposição e equipamentos de montaria.
- Animais não destinados a laboratório ou corte - animais para jardim zoológico - animais para produção, reprodução e guarda - animais para sela e tração - selas e outros. </t>
  </si>
  <si>
    <t xml:space="preserve">Registra o valor das despesas com os seguintes equipamentos de tic:
Centrais telefônicas, aparelhos telefônicos, equipamentos para vídeo conferência (terminais, conversores de vídeo, soluções de streaming, câmeras para videoconferência), exceto quando for aquisição de peças destinadas a reposição diretamente ao equipamento ou mesmo para estoque. </t>
  </si>
  <si>
    <t xml:space="preserve">Registra o valor das despesas com veículos empregados em estradas de ferro.
- Locomotiva - prancha - reboque - tender - vagão para transporte de carga ou passageiros e outros. </t>
  </si>
  <si>
    <t xml:space="preserve">Registra o valor das despesas com materiais empregados em imóveis e que possam ser removidos ou recuperados.
- Biombos - carpetes (primeira instalação) - cortinas - divisorias removíveis - estrados - persianas - tapetes - toldo - grades - mastro para fixação de antena de rádio - bicicletários removíveis </t>
  </si>
  <si>
    <t xml:space="preserve">Registra o valor das despesas com veículos de tração mecânica, tais como:
- Ambulância - automóvel - basculante - caçamba - caminhão - carro-forte - consultório volante - furgão - lambreta - microonibus - motocicleta - ônibus - rabecão - vassoura mecânica - veículo coletor de lixo - unidade móvel de radiomonitoragem e outros. </t>
  </si>
  <si>
    <t xml:space="preserve">Registra o valor das despesas com acessórios para veículos que possam ser desincorporados, sem prejuízo dos mesmos, para aplicacao em outro veículo, tais como:
Ar condicionado - capota - radio/toca-fita - e outros. </t>
  </si>
  <si>
    <t xml:space="preserve">Registra o valor das despesas com equipamentos destinados as atividades de mergulho e salvamento marítimo.
- Escafandro - jet-ski - tanque de oxigênio e outros. </t>
  </si>
  <si>
    <t xml:space="preserve">Registra o valor das despesas com equipamentos, pecas e acessórios marítimos, tais como:
- Instrumentos de navegação - instrumentos de medição do tempo - instrumentos óticos - instrumentos geográficos e astronômicos - instrumentos e aparelhos meteorológicos e outros. </t>
  </si>
  <si>
    <t>Valor da FUNTEF (15%)</t>
  </si>
  <si>
    <t>Docente</t>
  </si>
  <si>
    <t>DOC.DOUT</t>
  </si>
  <si>
    <t>Elaborador/Revisor</t>
  </si>
  <si>
    <t>Saldo</t>
  </si>
  <si>
    <t>Gasto (Previsto)</t>
  </si>
  <si>
    <t>Receita (Prevista)</t>
  </si>
  <si>
    <t>Bolsas</t>
  </si>
  <si>
    <t>Encargos</t>
  </si>
  <si>
    <t>Custos Operacionais</t>
  </si>
  <si>
    <t>Serviços de Seleção e Treinamento (docente doutor PJ)</t>
  </si>
  <si>
    <t>Serviços de Seleção e Treinamento (docente mestre PJ)</t>
  </si>
  <si>
    <t>Serviços de Seleção e Treinamento (docente especialista PJ)</t>
  </si>
  <si>
    <t>Nome Scretário(a)</t>
  </si>
  <si>
    <t>Nome Apoio Técnico 2</t>
  </si>
  <si>
    <t>Nome Tutor 2</t>
  </si>
  <si>
    <t xml:space="preserve">     e) Apoio técnico, tutoria e elaboração e/ou revisão de material didático: especificar nominalmente caso não esteja detalhando no Projeto de Abertura ou Reoferta do Curso.</t>
  </si>
  <si>
    <t xml:space="preserve">				</t>
  </si>
  <si>
    <t>PLANILHA DE CUSTOS: BOLSAS</t>
  </si>
  <si>
    <t>Preencher</t>
  </si>
  <si>
    <t>NOME</t>
  </si>
  <si>
    <t>CPF</t>
  </si>
  <si>
    <t>PARCELAS</t>
  </si>
  <si>
    <t>VALOR PARCELA (R$)</t>
  </si>
  <si>
    <t>RECEITA DO ALUNO  (R$)</t>
  </si>
  <si>
    <t>Nome Aluno Migrante 1</t>
  </si>
  <si>
    <t>Nome Aluno Migrante 2</t>
  </si>
  <si>
    <t>Nome Aluno Migrante n</t>
  </si>
  <si>
    <t>CRONOGRAMA DE EXECUÇÃO FINANCEIRA</t>
  </si>
  <si>
    <t>INFORMATIVO - INVESTIMENTO - ESPECIFICAÇÃO</t>
  </si>
  <si>
    <t>INFORMATIVO - CONSUMO - ESPECIFICAÇÃO</t>
  </si>
  <si>
    <t>INFORMATIVO - VALORES REFERENCIAIS</t>
  </si>
  <si>
    <t>PLANILHA DE RECEITAS DE ALUNOS MIGRANTES (APÓS MATRÍCULA)</t>
  </si>
  <si>
    <t>BENEFICIÁRIO</t>
  </si>
  <si>
    <t>DESCONTOS</t>
  </si>
  <si>
    <t>DESCONTO  (R$)</t>
  </si>
  <si>
    <t>Nome Aluno com Desconto</t>
  </si>
  <si>
    <t>PLANILHA DE CUSTOS COM DESCONTOS (APÓS MATRÍCULA)</t>
  </si>
  <si>
    <t>Nome do Convênio com Associação</t>
  </si>
  <si>
    <t>Nome do Convênio com Empresa</t>
  </si>
  <si>
    <t>Grupo de Aluno com Desconto</t>
  </si>
  <si>
    <t>ALUNOS MIGRANTES/OUTROS</t>
  </si>
  <si>
    <t>Nome Serviços de Terceiros 3</t>
  </si>
  <si>
    <t>VALOR MÁXIMO</t>
  </si>
  <si>
    <t>VALOR APLICADO NO PROJETO</t>
  </si>
  <si>
    <t>Valor custo por aluno</t>
  </si>
  <si>
    <t>Valor Total de Arrecadação (VTA)</t>
  </si>
  <si>
    <t>ESTRANGEIROS</t>
  </si>
  <si>
    <t>1.2 – Estrangeiros</t>
  </si>
  <si>
    <t>1.3 – Estagiários</t>
  </si>
  <si>
    <t>1.4 - Encargos -  20% sobre somatório de 1.1 + 2.4</t>
  </si>
  <si>
    <t>Total 1 (1.1 + 1.2 + 1.3 + 1.4)</t>
  </si>
  <si>
    <t>Valor Total de despesas do Projeto (VTD) (Total 1 + Total 2 + Total 3)</t>
  </si>
  <si>
    <t>Investimento - Saldo Desistência</t>
  </si>
  <si>
    <t>Indenizações e Restituições</t>
  </si>
  <si>
    <t>Despesas orçamentárias com indenizações e restituições.</t>
  </si>
  <si>
    <r>
      <t>3.1– Ressarcimento dos Custos da UTFPR (</t>
    </r>
    <r>
      <rPr>
        <b/>
        <sz val="11"/>
        <color rgb="FF000000"/>
        <rFont val="Arial"/>
        <family val="2"/>
        <charset val="1"/>
      </rPr>
      <t>%</t>
    </r>
    <r>
      <rPr>
        <sz val="10"/>
        <color rgb="FF000000"/>
        <rFont val="Arial"/>
        <family val="2"/>
        <charset val="1"/>
      </rPr>
      <t xml:space="preserve"> sobre VTA)</t>
    </r>
  </si>
  <si>
    <r>
      <t>3.2 – Despesas Operacionais e Administrativas (DOA) - Fundação de Apoio (</t>
    </r>
    <r>
      <rPr>
        <b/>
        <sz val="11"/>
        <color rgb="FF000000"/>
        <rFont val="Arial"/>
        <family val="2"/>
        <charset val="1"/>
      </rPr>
      <t>%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sobre VTA)</t>
    </r>
  </si>
  <si>
    <t>1)  Para preenchimento das informações do quantitativo de horas/meses:</t>
  </si>
  <si>
    <t>Vigência a partir de 01.05.2023</t>
  </si>
  <si>
    <t>Planilha referencial para gerenciamento e acompanhamento dos custos operacionais dos projetos de Ensino (Deliberação 07/2018-COUNI). 
Elaboração PROPLAD e DIRPLADs, revisão FUNTEF-PR. 
Versão publicada na página da PROPLAD em JUNHO/2023.
SOMENTE UTILIZE PLANILHAS BAIXADAS DO SITE DA PROPLAD.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</si>
</sst>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_-;\-* #,##0.00_-;_-* \-??_-;_-@_-"/>
    <numFmt numFmtId="166" formatCode="_(&quot;R$&quot;* #,##0.00_);_(&quot;R$&quot;* \(#,##0.00\);_(&quot;R$&quot;* \-??_);_(@_)"/>
    <numFmt numFmtId="167" formatCode="_(&quot;R$ &quot;* #,##0.00_);_(&quot;R$ &quot;* \(#,##0.00\);_(&quot;R$ &quot;* \-??_);_(@_)"/>
    <numFmt numFmtId="168" formatCode="_(* #,##0.00_);_(* \(#,##0.00\);_(* \-??_);_(@_)"/>
    <numFmt numFmtId="169" formatCode="&quot;R$&quot;#,##0.00"/>
    <numFmt numFmtId="170" formatCode="_-&quot;R$&quot;* #,##0.00_-;&quot;-R$&quot;* #,##0.00_-;_-&quot;R$&quot;* \-??_-;_-@_-"/>
    <numFmt numFmtId="171" formatCode="_-&quot;R$ &quot;* #,##0.00_-;&quot;-R$ &quot;* #,##0.00_-;_-&quot;R$ &quot;* \-??_-;_-@_-"/>
    <numFmt numFmtId="172" formatCode="0.0%"/>
    <numFmt numFmtId="173" formatCode="000000000\-00"/>
  </numFmts>
  <fonts count="41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2"/>
      <color rgb="FFFFFF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u/>
      <sz val="12"/>
      <color rgb="FF00B0F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u/>
      <sz val="12"/>
      <name val="Arial"/>
      <family val="2"/>
      <charset val="1"/>
    </font>
    <font>
      <b/>
      <sz val="14"/>
      <color rgb="FF000000"/>
      <name val="Arial"/>
      <family val="2"/>
      <charset val="1"/>
    </font>
    <font>
      <sz val="11"/>
      <color rgb="FFFFFFFF"/>
      <name val="Arial"/>
      <family val="2"/>
      <charset val="1"/>
    </font>
    <font>
      <b/>
      <sz val="9"/>
      <color rgb="FF000000"/>
      <name val="Segoe U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8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u/>
      <sz val="12"/>
      <color rgb="FFFF0000"/>
      <name val="Calibri"/>
      <family val="2"/>
      <charset val="1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sz val="11"/>
      <name val="Arial"/>
      <family val="2"/>
      <charset val="1"/>
    </font>
    <font>
      <sz val="11"/>
      <name val="Calibri"/>
      <family val="2"/>
      <charset val="1"/>
    </font>
    <font>
      <sz val="12"/>
      <color rgb="FF000000"/>
      <name val="Arial"/>
      <family val="2"/>
    </font>
    <font>
      <b/>
      <sz val="12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11"/>
      <color theme="0"/>
      <name val="Calibri"/>
      <family val="2"/>
      <charset val="1"/>
    </font>
    <font>
      <sz val="10"/>
      <color rgb="FF00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DDDDDD"/>
        <bgColor rgb="FFD9D9D9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2F0D9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C000"/>
      </patternFill>
    </fill>
    <fill>
      <patternFill patternType="solid">
        <fgColor rgb="FFCCCCCC"/>
        <bgColor rgb="FFBFBFBF"/>
      </patternFill>
    </fill>
    <fill>
      <patternFill patternType="solid">
        <fgColor rgb="FFD9D9D9"/>
        <bgColor rgb="FFDDDDDD"/>
      </patternFill>
    </fill>
    <fill>
      <patternFill patternType="solid">
        <fgColor rgb="FFDAE3F3"/>
        <bgColor rgb="FFD6DCE5"/>
      </patternFill>
    </fill>
    <fill>
      <patternFill patternType="solid">
        <fgColor rgb="FFFFE699"/>
        <bgColor rgb="FFFBE5D6"/>
      </patternFill>
    </fill>
    <fill>
      <patternFill patternType="solid">
        <fgColor rgb="FF1DFF38"/>
        <bgColor rgb="FF33CCCC"/>
      </patternFill>
    </fill>
    <fill>
      <patternFill patternType="solid">
        <fgColor rgb="FFE2F0D9"/>
        <bgColor rgb="FFF2F2F2"/>
      </patternFill>
    </fill>
    <fill>
      <patternFill patternType="solid">
        <fgColor rgb="FFD6DCE5"/>
        <bgColor rgb="FFDDDDDD"/>
      </patternFill>
    </fill>
    <fill>
      <patternFill patternType="solid">
        <fgColor rgb="FFFBE5D6"/>
        <bgColor rgb="FFF2F2F2"/>
      </patternFill>
    </fill>
    <fill>
      <patternFill patternType="solid">
        <fgColor rgb="FFFFFF00"/>
        <bgColor rgb="FFD6DCE5"/>
      </patternFill>
    </fill>
    <fill>
      <patternFill patternType="solid">
        <fgColor rgb="FFFFFF00"/>
        <bgColor rgb="FFFBE5D6"/>
      </patternFill>
    </fill>
    <fill>
      <patternFill patternType="solid">
        <fgColor rgb="FFFFFF00"/>
        <bgColor rgb="FFF2F2F2"/>
      </patternFill>
    </fill>
    <fill>
      <patternFill patternType="solid">
        <fgColor theme="2"/>
        <bgColor rgb="FFDDDDDD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rgb="FFFF9900"/>
      </patternFill>
    </fill>
    <fill>
      <patternFill patternType="solid">
        <fgColor theme="2"/>
        <bgColor rgb="FF0033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rgb="FFF2F2F2"/>
      </patternFill>
    </fill>
    <fill>
      <patternFill patternType="solid">
        <fgColor rgb="FFFFC000"/>
        <bgColor rgb="FFF2F2F2"/>
      </patternFill>
    </fill>
    <fill>
      <patternFill patternType="solid">
        <fgColor theme="7"/>
        <bgColor rgb="FFFFC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</borders>
  <cellStyleXfs count="6">
    <xf numFmtId="0" fontId="0" fillId="0" borderId="0"/>
    <xf numFmtId="165" fontId="21" fillId="0" borderId="0" applyBorder="0" applyProtection="0"/>
    <xf numFmtId="170" fontId="21" fillId="0" borderId="0" applyBorder="0" applyProtection="0"/>
    <xf numFmtId="9" fontId="21" fillId="0" borderId="0" applyBorder="0" applyProtection="0"/>
    <xf numFmtId="0" fontId="6" fillId="0" borderId="0" applyBorder="0" applyProtection="0"/>
    <xf numFmtId="0" fontId="1" fillId="3" borderId="0" applyBorder="0" applyProtection="0"/>
  </cellStyleXfs>
  <cellXfs count="287">
    <xf numFmtId="0" fontId="0" fillId="0" borderId="0" xfId="0"/>
    <xf numFmtId="0" fontId="2" fillId="0" borderId="0" xfId="0" applyFont="1"/>
    <xf numFmtId="0" fontId="2" fillId="4" borderId="0" xfId="0" applyFont="1" applyFill="1"/>
    <xf numFmtId="0" fontId="7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justify" vertical="center" wrapText="1"/>
    </xf>
    <xf numFmtId="0" fontId="10" fillId="9" borderId="3" xfId="0" applyFont="1" applyFill="1" applyBorder="1" applyAlignment="1">
      <alignment horizontal="center" vertical="center" wrapText="1"/>
    </xf>
    <xf numFmtId="165" fontId="7" fillId="5" borderId="3" xfId="1" applyFont="1" applyFill="1" applyBorder="1" applyAlignment="1">
      <alignment horizontal="center" vertical="center" wrapText="1"/>
    </xf>
    <xf numFmtId="165" fontId="9" fillId="0" borderId="3" xfId="1" applyFont="1" applyBorder="1" applyAlignment="1">
      <alignment horizontal="justify" vertical="center" wrapText="1"/>
    </xf>
    <xf numFmtId="165" fontId="10" fillId="5" borderId="3" xfId="1" applyFont="1" applyFill="1" applyBorder="1" applyAlignment="1">
      <alignment horizontal="justify" vertical="center" wrapText="1"/>
    </xf>
    <xf numFmtId="165" fontId="2" fillId="5" borderId="3" xfId="1" applyFont="1" applyFill="1" applyBorder="1"/>
    <xf numFmtId="0" fontId="9" fillId="9" borderId="3" xfId="0" applyFont="1" applyFill="1" applyBorder="1" applyAlignment="1">
      <alignment horizontal="justify" vertical="center" wrapText="1"/>
    </xf>
    <xf numFmtId="0" fontId="2" fillId="4" borderId="0" xfId="0" applyFont="1" applyFill="1" applyAlignment="1">
      <alignment horizontal="left" vertical="top" wrapText="1"/>
    </xf>
    <xf numFmtId="165" fontId="9" fillId="0" borderId="3" xfId="0" applyNumberFormat="1" applyFont="1" applyBorder="1" applyAlignment="1">
      <alignment vertical="center"/>
    </xf>
    <xf numFmtId="9" fontId="7" fillId="7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justify" vertical="center" wrapText="1"/>
    </xf>
    <xf numFmtId="0" fontId="11" fillId="4" borderId="0" xfId="0" applyFont="1" applyFill="1"/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1" fontId="13" fillId="7" borderId="3" xfId="0" applyNumberFormat="1" applyFont="1" applyFill="1" applyBorder="1" applyAlignment="1">
      <alignment horizontal="center" vertical="center"/>
    </xf>
    <xf numFmtId="165" fontId="11" fillId="4" borderId="0" xfId="0" applyNumberFormat="1" applyFont="1" applyFill="1"/>
    <xf numFmtId="1" fontId="13" fillId="4" borderId="6" xfId="0" applyNumberFormat="1" applyFont="1" applyFill="1" applyBorder="1" applyAlignment="1">
      <alignment horizontal="center" vertical="center"/>
    </xf>
    <xf numFmtId="2" fontId="13" fillId="4" borderId="0" xfId="0" applyNumberFormat="1" applyFont="1" applyFill="1" applyAlignment="1">
      <alignment vertical="center"/>
    </xf>
    <xf numFmtId="166" fontId="13" fillId="4" borderId="0" xfId="0" applyNumberFormat="1" applyFont="1" applyFill="1" applyAlignment="1">
      <alignment horizontal="center" vertical="center"/>
    </xf>
    <xf numFmtId="165" fontId="12" fillId="12" borderId="9" xfId="1" applyFont="1" applyFill="1" applyBorder="1" applyAlignment="1">
      <alignment horizontal="center" vertical="center"/>
    </xf>
    <xf numFmtId="4" fontId="13" fillId="4" borderId="0" xfId="0" applyNumberFormat="1" applyFont="1" applyFill="1" applyAlignment="1">
      <alignment horizontal="center" vertical="center"/>
    </xf>
    <xf numFmtId="0" fontId="12" fillId="13" borderId="3" xfId="0" applyFont="1" applyFill="1" applyBorder="1" applyAlignment="1">
      <alignment vertical="center"/>
    </xf>
    <xf numFmtId="0" fontId="13" fillId="4" borderId="0" xfId="0" applyFont="1" applyFill="1" applyAlignment="1">
      <alignment horizontal="center" vertical="center" wrapText="1"/>
    </xf>
    <xf numFmtId="168" fontId="13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top" wrapText="1"/>
    </xf>
    <xf numFmtId="0" fontId="7" fillId="4" borderId="0" xfId="0" applyFont="1" applyFill="1"/>
    <xf numFmtId="0" fontId="7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0" fontId="2" fillId="4" borderId="3" xfId="0" applyFont="1" applyFill="1" applyBorder="1"/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vertical="center" wrapText="1"/>
    </xf>
    <xf numFmtId="0" fontId="2" fillId="4" borderId="3" xfId="0" applyFont="1" applyFill="1" applyBorder="1" applyAlignment="1" applyProtection="1">
      <alignment wrapText="1"/>
      <protection locked="0"/>
    </xf>
    <xf numFmtId="169" fontId="2" fillId="4" borderId="3" xfId="0" applyNumberFormat="1" applyFont="1" applyFill="1" applyBorder="1"/>
    <xf numFmtId="169" fontId="4" fillId="9" borderId="3" xfId="0" applyNumberFormat="1" applyFont="1" applyFill="1" applyBorder="1"/>
    <xf numFmtId="169" fontId="2" fillId="4" borderId="3" xfId="0" applyNumberFormat="1" applyFont="1" applyFill="1" applyBorder="1" applyProtection="1">
      <protection locked="0"/>
    </xf>
    <xf numFmtId="169" fontId="2" fillId="4" borderId="3" xfId="0" applyNumberFormat="1" applyFont="1" applyFill="1" applyBorder="1" applyAlignment="1" applyProtection="1">
      <alignment wrapText="1"/>
      <protection locked="0"/>
    </xf>
    <xf numFmtId="169" fontId="2" fillId="9" borderId="3" xfId="0" applyNumberFormat="1" applyFont="1" applyFill="1" applyBorder="1"/>
    <xf numFmtId="0" fontId="0" fillId="4" borderId="0" xfId="0" applyFill="1"/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19" fillId="4" borderId="0" xfId="0" applyFont="1" applyFill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3" xfId="0" applyBorder="1"/>
    <xf numFmtId="9" fontId="0" fillId="0" borderId="3" xfId="3" applyFont="1" applyBorder="1"/>
    <xf numFmtId="0" fontId="0" fillId="9" borderId="3" xfId="0" applyFill="1" applyBorder="1"/>
    <xf numFmtId="165" fontId="0" fillId="9" borderId="3" xfId="1" applyFont="1" applyFill="1" applyBorder="1"/>
    <xf numFmtId="165" fontId="0" fillId="0" borderId="3" xfId="1" applyFont="1" applyBorder="1"/>
    <xf numFmtId="0" fontId="19" fillId="4" borderId="0" xfId="0" applyFont="1" applyFill="1"/>
    <xf numFmtId="0" fontId="19" fillId="4" borderId="0" xfId="0" applyFont="1" applyFill="1" applyAlignment="1">
      <alignment vertical="center"/>
    </xf>
    <xf numFmtId="165" fontId="19" fillId="7" borderId="3" xfId="0" applyNumberFormat="1" applyFont="1" applyFill="1" applyBorder="1" applyAlignment="1">
      <alignment vertical="center"/>
    </xf>
    <xf numFmtId="0" fontId="19" fillId="11" borderId="3" xfId="0" applyFont="1" applyFill="1" applyBorder="1"/>
    <xf numFmtId="165" fontId="19" fillId="11" borderId="3" xfId="0" applyNumberFormat="1" applyFont="1" applyFill="1" applyBorder="1"/>
    <xf numFmtId="0" fontId="19" fillId="0" borderId="0" xfId="0" applyFont="1"/>
    <xf numFmtId="165" fontId="0" fillId="4" borderId="0" xfId="1" applyFont="1" applyFill="1" applyAlignment="1">
      <alignment vertical="center"/>
    </xf>
    <xf numFmtId="0" fontId="20" fillId="4" borderId="0" xfId="0" applyFont="1" applyFill="1"/>
    <xf numFmtId="0" fontId="20" fillId="4" borderId="0" xfId="0" applyFont="1" applyFill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164" fontId="2" fillId="4" borderId="0" xfId="0" applyNumberFormat="1" applyFont="1" applyFill="1"/>
    <xf numFmtId="165" fontId="10" fillId="16" borderId="3" xfId="1" applyFont="1" applyFill="1" applyBorder="1" applyAlignment="1">
      <alignment horizontal="justify" vertical="center" wrapText="1"/>
    </xf>
    <xf numFmtId="165" fontId="10" fillId="16" borderId="3" xfId="0" applyNumberFormat="1" applyFont="1" applyFill="1" applyBorder="1" applyAlignment="1">
      <alignment horizontal="justify" vertical="center" wrapText="1"/>
    </xf>
    <xf numFmtId="165" fontId="7" fillId="17" borderId="3" xfId="0" applyNumberFormat="1" applyFont="1" applyFill="1" applyBorder="1" applyAlignment="1">
      <alignment horizontal="justify" vertical="center" wrapText="1"/>
    </xf>
    <xf numFmtId="4" fontId="22" fillId="4" borderId="3" xfId="0" applyNumberFormat="1" applyFont="1" applyFill="1" applyBorder="1" applyAlignment="1">
      <alignment horizontal="left" vertical="center"/>
    </xf>
    <xf numFmtId="164" fontId="13" fillId="4" borderId="0" xfId="0" applyNumberFormat="1" applyFont="1" applyFill="1" applyAlignment="1">
      <alignment vertical="center"/>
    </xf>
    <xf numFmtId="166" fontId="22" fillId="19" borderId="3" xfId="0" applyNumberFormat="1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0" fontId="23" fillId="4" borderId="3" xfId="0" applyFont="1" applyFill="1" applyBorder="1" applyAlignment="1">
      <alignment horizontal="left"/>
    </xf>
    <xf numFmtId="0" fontId="22" fillId="4" borderId="3" xfId="0" applyFont="1" applyFill="1" applyBorder="1" applyAlignment="1">
      <alignment horizontal="left" vertical="center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/>
    </xf>
    <xf numFmtId="0" fontId="25" fillId="0" borderId="3" xfId="0" applyFont="1" applyBorder="1" applyAlignment="1">
      <alignment horizontal="center" vertical="center"/>
    </xf>
    <xf numFmtId="0" fontId="26" fillId="0" borderId="0" xfId="0" applyFont="1"/>
    <xf numFmtId="0" fontId="29" fillId="23" borderId="3" xfId="0" applyFont="1" applyFill="1" applyBorder="1" applyProtection="1">
      <protection locked="0"/>
    </xf>
    <xf numFmtId="170" fontId="21" fillId="0" borderId="3" xfId="2" applyBorder="1"/>
    <xf numFmtId="0" fontId="32" fillId="5" borderId="3" xfId="0" applyFont="1" applyFill="1" applyBorder="1" applyAlignment="1">
      <alignment horizontal="center" vertical="center" wrapText="1"/>
    </xf>
    <xf numFmtId="170" fontId="21" fillId="0" borderId="0" xfId="2"/>
    <xf numFmtId="0" fontId="4" fillId="4" borderId="0" xfId="0" applyFont="1" applyFill="1" applyAlignment="1">
      <alignment vertical="top" wrapText="1"/>
    </xf>
    <xf numFmtId="0" fontId="25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1" fontId="0" fillId="4" borderId="0" xfId="0" applyNumberFormat="1" applyFill="1" applyAlignment="1">
      <alignment vertical="center"/>
    </xf>
    <xf numFmtId="43" fontId="0" fillId="4" borderId="0" xfId="0" applyNumberFormat="1" applyFill="1" applyAlignment="1">
      <alignment vertical="center"/>
    </xf>
    <xf numFmtId="43" fontId="0" fillId="4" borderId="0" xfId="0" applyNumberFormat="1" applyFill="1"/>
    <xf numFmtId="0" fontId="0" fillId="4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165" fontId="0" fillId="0" borderId="0" xfId="0" applyNumberFormat="1"/>
    <xf numFmtId="43" fontId="0" fillId="0" borderId="0" xfId="0" applyNumberFormat="1"/>
    <xf numFmtId="165" fontId="0" fillId="4" borderId="0" xfId="0" applyNumberFormat="1" applyFill="1" applyAlignment="1">
      <alignment vertical="center"/>
    </xf>
    <xf numFmtId="165" fontId="0" fillId="4" borderId="0" xfId="0" applyNumberFormat="1" applyFill="1"/>
    <xf numFmtId="0" fontId="25" fillId="4" borderId="3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5" fillId="0" borderId="3" xfId="0" applyFont="1" applyBorder="1" applyAlignment="1">
      <alignment horizontal="left"/>
    </xf>
    <xf numFmtId="0" fontId="25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vertical="center" wrapText="1"/>
    </xf>
    <xf numFmtId="0" fontId="23" fillId="13" borderId="3" xfId="0" applyFont="1" applyFill="1" applyBorder="1"/>
    <xf numFmtId="0" fontId="36" fillId="4" borderId="0" xfId="0" applyFont="1" applyFill="1"/>
    <xf numFmtId="0" fontId="36" fillId="4" borderId="3" xfId="0" applyFont="1" applyFill="1" applyBorder="1"/>
    <xf numFmtId="2" fontId="36" fillId="4" borderId="3" xfId="0" applyNumberFormat="1" applyFont="1" applyFill="1" applyBorder="1"/>
    <xf numFmtId="4" fontId="36" fillId="4" borderId="0" xfId="0" applyNumberFormat="1" applyFont="1" applyFill="1"/>
    <xf numFmtId="0" fontId="11" fillId="4" borderId="0" xfId="0" applyFont="1" applyFill="1" applyAlignment="1">
      <alignment horizontal="left"/>
    </xf>
    <xf numFmtId="0" fontId="13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 vertical="center" wrapText="1"/>
    </xf>
    <xf numFmtId="0" fontId="18" fillId="15" borderId="3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33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4" fillId="28" borderId="3" xfId="0" applyFont="1" applyFill="1" applyBorder="1" applyAlignment="1" applyProtection="1">
      <alignment horizontal="center" vertical="center" wrapText="1"/>
      <protection locked="0"/>
    </xf>
    <xf numFmtId="1" fontId="13" fillId="4" borderId="3" xfId="0" applyNumberFormat="1" applyFont="1" applyFill="1" applyBorder="1" applyAlignment="1" applyProtection="1">
      <alignment horizontal="center" vertical="center"/>
      <protection locked="0"/>
    </xf>
    <xf numFmtId="0" fontId="12" fillId="6" borderId="3" xfId="0" applyFont="1" applyFill="1" applyBorder="1" applyAlignment="1" applyProtection="1">
      <alignment horizontal="center" vertical="center"/>
      <protection locked="0"/>
    </xf>
    <xf numFmtId="167" fontId="12" fillId="27" borderId="3" xfId="0" applyNumberFormat="1" applyFont="1" applyFill="1" applyBorder="1" applyAlignment="1" applyProtection="1">
      <alignment vertical="center"/>
      <protection locked="0"/>
    </xf>
    <xf numFmtId="0" fontId="37" fillId="4" borderId="0" xfId="0" applyFont="1" applyFill="1"/>
    <xf numFmtId="0" fontId="12" fillId="4" borderId="0" xfId="0" applyFont="1" applyFill="1"/>
    <xf numFmtId="0" fontId="38" fillId="4" borderId="0" xfId="0" applyFont="1" applyFill="1"/>
    <xf numFmtId="0" fontId="34" fillId="4" borderId="0" xfId="0" applyFont="1" applyFill="1"/>
    <xf numFmtId="0" fontId="35" fillId="0" borderId="0" xfId="0" applyFont="1"/>
    <xf numFmtId="1" fontId="7" fillId="9" borderId="3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170" fontId="2" fillId="4" borderId="3" xfId="2" applyFont="1" applyFill="1" applyBorder="1" applyProtection="1"/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wrapText="1" shrinkToFit="1"/>
    </xf>
    <xf numFmtId="0" fontId="4" fillId="4" borderId="0" xfId="0" applyFont="1" applyFill="1" applyAlignment="1">
      <alignment horizontal="left" vertical="center" wrapText="1"/>
    </xf>
    <xf numFmtId="0" fontId="16" fillId="4" borderId="0" xfId="0" applyFont="1" applyFill="1"/>
    <xf numFmtId="170" fontId="7" fillId="9" borderId="3" xfId="2" applyFont="1" applyFill="1" applyBorder="1" applyProtection="1"/>
    <xf numFmtId="1" fontId="2" fillId="4" borderId="0" xfId="0" applyNumberFormat="1" applyFont="1" applyFill="1"/>
    <xf numFmtId="0" fontId="39" fillId="0" borderId="0" xfId="0" applyFont="1"/>
    <xf numFmtId="0" fontId="7" fillId="4" borderId="3" xfId="0" applyFont="1" applyFill="1" applyBorder="1" applyAlignment="1">
      <alignment horizontal="center" vertical="center" wrapText="1"/>
    </xf>
    <xf numFmtId="171" fontId="2" fillId="4" borderId="3" xfId="0" applyNumberFormat="1" applyFont="1" applyFill="1" applyBorder="1" applyAlignment="1">
      <alignment wrapText="1"/>
    </xf>
    <xf numFmtId="49" fontId="7" fillId="4" borderId="0" xfId="0" applyNumberFormat="1" applyFont="1" applyFill="1"/>
    <xf numFmtId="169" fontId="7" fillId="9" borderId="3" xfId="0" applyNumberFormat="1" applyFont="1" applyFill="1" applyBorder="1"/>
    <xf numFmtId="170" fontId="21" fillId="0" borderId="3" xfId="2" applyBorder="1" applyProtection="1">
      <protection locked="0"/>
    </xf>
    <xf numFmtId="0" fontId="2" fillId="4" borderId="0" xfId="0" applyFont="1" applyFill="1" applyProtection="1">
      <protection locked="0"/>
    </xf>
    <xf numFmtId="0" fontId="7" fillId="9" borderId="3" xfId="0" applyFont="1" applyFill="1" applyBorder="1" applyAlignment="1">
      <alignment horizontal="center"/>
    </xf>
    <xf numFmtId="0" fontId="7" fillId="9" borderId="3" xfId="0" applyFont="1" applyFill="1" applyBorder="1"/>
    <xf numFmtId="170" fontId="21" fillId="0" borderId="0" xfId="2" applyAlignment="1" applyProtection="1">
      <alignment horizontal="left"/>
    </xf>
    <xf numFmtId="0" fontId="2" fillId="4" borderId="0" xfId="0" applyFont="1" applyFill="1" applyAlignment="1">
      <alignment horizontal="right"/>
    </xf>
    <xf numFmtId="170" fontId="21" fillId="0" borderId="0" xfId="2" applyProtection="1"/>
    <xf numFmtId="0" fontId="2" fillId="4" borderId="0" xfId="0" applyFont="1" applyFill="1" applyAlignment="1">
      <alignment horizontal="left"/>
    </xf>
    <xf numFmtId="0" fontId="7" fillId="9" borderId="4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169" fontId="7" fillId="4" borderId="0" xfId="0" applyNumberFormat="1" applyFont="1" applyFill="1"/>
    <xf numFmtId="0" fontId="4" fillId="6" borderId="0" xfId="0" applyFont="1" applyFill="1" applyAlignment="1">
      <alignment horizontal="center" vertical="center"/>
    </xf>
    <xf numFmtId="0" fontId="2" fillId="20" borderId="0" xfId="0" applyFont="1" applyFill="1"/>
    <xf numFmtId="0" fontId="7" fillId="14" borderId="3" xfId="0" applyFont="1" applyFill="1" applyBorder="1" applyAlignment="1">
      <alignment horizontal="center" vertical="center"/>
    </xf>
    <xf numFmtId="0" fontId="7" fillId="19" borderId="3" xfId="0" applyFont="1" applyFill="1" applyBorder="1" applyAlignment="1">
      <alignment horizontal="center" vertical="center" wrapText="1"/>
    </xf>
    <xf numFmtId="165" fontId="4" fillId="6" borderId="0" xfId="0" applyNumberFormat="1" applyFont="1" applyFill="1" applyAlignment="1">
      <alignment horizontal="center" vertical="center"/>
    </xf>
    <xf numFmtId="165" fontId="4" fillId="21" borderId="0" xfId="0" applyNumberFormat="1" applyFont="1" applyFill="1" applyAlignment="1">
      <alignment horizontal="center" vertical="center"/>
    </xf>
    <xf numFmtId="169" fontId="7" fillId="19" borderId="3" xfId="0" applyNumberFormat="1" applyFont="1" applyFill="1" applyBorder="1"/>
    <xf numFmtId="0" fontId="7" fillId="9" borderId="0" xfId="0" applyFont="1" applyFill="1" applyAlignment="1">
      <alignment horizontal="center" vertical="center" wrapText="1"/>
    </xf>
    <xf numFmtId="169" fontId="2" fillId="4" borderId="0" xfId="0" applyNumberFormat="1" applyFont="1" applyFill="1"/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/>
    </xf>
    <xf numFmtId="169" fontId="7" fillId="7" borderId="3" xfId="0" applyNumberFormat="1" applyFont="1" applyFill="1" applyBorder="1"/>
    <xf numFmtId="0" fontId="2" fillId="18" borderId="3" xfId="0" applyFont="1" applyFill="1" applyBorder="1" applyProtection="1">
      <protection locked="0"/>
    </xf>
    <xf numFmtId="0" fontId="30" fillId="24" borderId="3" xfId="0" applyFont="1" applyFill="1" applyBorder="1" applyAlignment="1">
      <alignment horizontal="center" vertical="center"/>
    </xf>
    <xf numFmtId="0" fontId="22" fillId="24" borderId="3" xfId="0" applyFont="1" applyFill="1" applyBorder="1" applyAlignment="1">
      <alignment horizontal="center" vertical="center" wrapText="1"/>
    </xf>
    <xf numFmtId="0" fontId="31" fillId="25" borderId="3" xfId="0" applyFont="1" applyFill="1" applyBorder="1" applyAlignment="1">
      <alignment horizontal="center"/>
    </xf>
    <xf numFmtId="165" fontId="29" fillId="25" borderId="3" xfId="1" applyFont="1" applyFill="1" applyBorder="1" applyAlignment="1" applyProtection="1">
      <alignment horizontal="center" wrapText="1"/>
    </xf>
    <xf numFmtId="0" fontId="29" fillId="23" borderId="0" xfId="0" applyFont="1" applyFill="1"/>
    <xf numFmtId="172" fontId="0" fillId="0" borderId="3" xfId="3" applyNumberFormat="1" applyFont="1" applyBorder="1" applyProtection="1">
      <protection locked="0"/>
    </xf>
    <xf numFmtId="0" fontId="0" fillId="0" borderId="3" xfId="0" applyBorder="1" applyProtection="1">
      <protection locked="0"/>
    </xf>
    <xf numFmtId="173" fontId="2" fillId="4" borderId="3" xfId="0" applyNumberFormat="1" applyFont="1" applyFill="1" applyBorder="1" applyProtection="1">
      <protection locked="0"/>
    </xf>
    <xf numFmtId="170" fontId="21" fillId="29" borderId="0" xfId="2" applyFill="1" applyProtection="1">
      <protection locked="0"/>
    </xf>
    <xf numFmtId="0" fontId="2" fillId="18" borderId="3" xfId="0" applyFont="1" applyFill="1" applyBorder="1" applyAlignment="1" applyProtection="1">
      <alignment wrapText="1"/>
      <protection locked="0"/>
    </xf>
    <xf numFmtId="0" fontId="22" fillId="4" borderId="3" xfId="0" applyFont="1" applyFill="1" applyBorder="1" applyAlignment="1" applyProtection="1">
      <alignment horizontal="center" vertical="center"/>
      <protection locked="0"/>
    </xf>
    <xf numFmtId="2" fontId="13" fillId="4" borderId="3" xfId="0" applyNumberFormat="1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5" borderId="3" xfId="0" applyFont="1" applyFill="1" applyBorder="1" applyAlignment="1" applyProtection="1">
      <alignment horizontal="justify" vertical="center" wrapText="1"/>
      <protection locked="0"/>
    </xf>
    <xf numFmtId="0" fontId="7" fillId="8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2" xfId="4" applyBorder="1"/>
    <xf numFmtId="0" fontId="5" fillId="2" borderId="2" xfId="4" applyFont="1" applyFill="1" applyBorder="1" applyAlignment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justify" vertical="center" wrapText="1"/>
    </xf>
    <xf numFmtId="0" fontId="4" fillId="9" borderId="3" xfId="0" applyFont="1" applyFill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1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167" fontId="12" fillId="13" borderId="3" xfId="0" applyNumberFormat="1" applyFont="1" applyFill="1" applyBorder="1" applyAlignment="1">
      <alignment horizontal="center" vertical="center"/>
    </xf>
    <xf numFmtId="2" fontId="13" fillId="4" borderId="3" xfId="0" applyNumberFormat="1" applyFont="1" applyFill="1" applyBorder="1" applyAlignment="1" applyProtection="1">
      <alignment horizontal="left" vertical="center" wrapText="1"/>
      <protection locked="0"/>
    </xf>
    <xf numFmtId="2" fontId="12" fillId="9" borderId="3" xfId="0" applyNumberFormat="1" applyFont="1" applyFill="1" applyBorder="1" applyAlignment="1">
      <alignment horizontal="center" vertical="center"/>
    </xf>
    <xf numFmtId="166" fontId="12" fillId="9" borderId="3" xfId="0" applyNumberFormat="1" applyFont="1" applyFill="1" applyBorder="1" applyAlignment="1">
      <alignment vertical="center"/>
    </xf>
    <xf numFmtId="2" fontId="13" fillId="4" borderId="5" xfId="0" applyNumberFormat="1" applyFont="1" applyFill="1" applyBorder="1" applyAlignment="1">
      <alignment horizontal="left" vertical="center"/>
    </xf>
    <xf numFmtId="2" fontId="12" fillId="12" borderId="7" xfId="0" applyNumberFormat="1" applyFont="1" applyFill="1" applyBorder="1" applyAlignment="1">
      <alignment horizontal="center" vertical="center"/>
    </xf>
    <xf numFmtId="2" fontId="12" fillId="12" borderId="17" xfId="0" applyNumberFormat="1" applyFont="1" applyFill="1" applyBorder="1" applyAlignment="1">
      <alignment horizontal="center" vertical="center"/>
    </xf>
    <xf numFmtId="166" fontId="22" fillId="18" borderId="4" xfId="0" applyNumberFormat="1" applyFont="1" applyFill="1" applyBorder="1" applyAlignment="1">
      <alignment horizontal="center" vertical="center" wrapText="1"/>
    </xf>
    <xf numFmtId="166" fontId="22" fillId="18" borderId="12" xfId="0" applyNumberFormat="1" applyFont="1" applyFill="1" applyBorder="1" applyAlignment="1">
      <alignment horizontal="center" vertical="center" wrapText="1"/>
    </xf>
    <xf numFmtId="2" fontId="22" fillId="4" borderId="13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top" wrapText="1"/>
    </xf>
    <xf numFmtId="0" fontId="24" fillId="22" borderId="10" xfId="4" applyFont="1" applyFill="1" applyBorder="1" applyAlignment="1">
      <alignment horizontal="center" vertical="center" wrapText="1"/>
    </xf>
    <xf numFmtId="2" fontId="12" fillId="12" borderId="8" xfId="0" applyNumberFormat="1" applyFont="1" applyFill="1" applyBorder="1" applyAlignment="1">
      <alignment horizontal="center" vertical="center"/>
    </xf>
    <xf numFmtId="2" fontId="12" fillId="12" borderId="5" xfId="0" applyNumberFormat="1" applyFont="1" applyFill="1" applyBorder="1" applyAlignment="1">
      <alignment horizontal="center" vertical="center"/>
    </xf>
    <xf numFmtId="167" fontId="12" fillId="26" borderId="4" xfId="0" applyNumberFormat="1" applyFont="1" applyFill="1" applyBorder="1" applyAlignment="1" applyProtection="1">
      <alignment horizontal="center" vertical="center"/>
      <protection locked="0"/>
    </xf>
    <xf numFmtId="167" fontId="12" fillId="26" borderId="16" xfId="0" applyNumberFormat="1" applyFont="1" applyFill="1" applyBorder="1" applyAlignment="1" applyProtection="1">
      <alignment horizontal="center" vertical="center"/>
      <protection locked="0"/>
    </xf>
    <xf numFmtId="167" fontId="12" fillId="26" borderId="12" xfId="0" applyNumberFormat="1" applyFont="1" applyFill="1" applyBorder="1" applyAlignment="1" applyProtection="1">
      <alignment horizontal="center" vertical="center"/>
      <protection locked="0"/>
    </xf>
    <xf numFmtId="165" fontId="12" fillId="13" borderId="4" xfId="1" applyFont="1" applyFill="1" applyBorder="1" applyAlignment="1">
      <alignment horizontal="center" vertical="center"/>
    </xf>
    <xf numFmtId="165" fontId="12" fillId="13" borderId="12" xfId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left" vertical="center"/>
    </xf>
    <xf numFmtId="9" fontId="13" fillId="4" borderId="3" xfId="3" applyFont="1" applyFill="1" applyBorder="1" applyAlignment="1" applyProtection="1">
      <alignment horizontal="center" vertical="center"/>
      <protection locked="0"/>
    </xf>
    <xf numFmtId="4" fontId="12" fillId="4" borderId="3" xfId="0" applyNumberFormat="1" applyFont="1" applyFill="1" applyBorder="1" applyAlignment="1">
      <alignment horizontal="center" vertical="center"/>
    </xf>
    <xf numFmtId="2" fontId="13" fillId="4" borderId="3" xfId="0" applyNumberFormat="1" applyFont="1" applyFill="1" applyBorder="1" applyAlignment="1">
      <alignment horizontal="left" vertical="center"/>
    </xf>
    <xf numFmtId="2" fontId="13" fillId="4" borderId="3" xfId="0" applyNumberFormat="1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justify" vertical="center" wrapText="1"/>
    </xf>
    <xf numFmtId="0" fontId="12" fillId="9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19" borderId="11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2" fillId="4" borderId="16" xfId="0" applyFont="1" applyFill="1" applyBorder="1" applyAlignment="1" applyProtection="1">
      <alignment horizontal="left" wrapText="1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0" fontId="7" fillId="9" borderId="4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/>
    </xf>
    <xf numFmtId="0" fontId="7" fillId="9" borderId="16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25" fillId="4" borderId="0" xfId="0" applyFont="1" applyFill="1" applyAlignment="1">
      <alignment horizontal="left"/>
    </xf>
    <xf numFmtId="0" fontId="7" fillId="19" borderId="4" xfId="0" applyFont="1" applyFill="1" applyBorder="1" applyAlignment="1">
      <alignment horizontal="center" vertical="center"/>
    </xf>
    <xf numFmtId="0" fontId="7" fillId="19" borderId="16" xfId="0" applyFont="1" applyFill="1" applyBorder="1" applyAlignment="1">
      <alignment horizontal="center" vertical="center"/>
    </xf>
    <xf numFmtId="0" fontId="7" fillId="19" borderId="1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0" fontId="25" fillId="4" borderId="0" xfId="0" applyFont="1" applyFill="1" applyAlignment="1">
      <alignment horizontal="left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18" fillId="15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3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5" fontId="0" fillId="0" borderId="14" xfId="1" applyFont="1" applyBorder="1" applyAlignment="1">
      <alignment horizontal="center" vertical="center"/>
    </xf>
    <xf numFmtId="165" fontId="0" fillId="0" borderId="15" xfId="1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3" fillId="13" borderId="3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4" fontId="36" fillId="13" borderId="3" xfId="0" applyNumberFormat="1" applyFont="1" applyFill="1" applyBorder="1"/>
    <xf numFmtId="170" fontId="4" fillId="7" borderId="3" xfId="2" applyNumberFormat="1" applyFont="1" applyFill="1" applyBorder="1" applyAlignment="1" applyProtection="1">
      <alignment horizontal="center"/>
      <protection locked="0"/>
    </xf>
    <xf numFmtId="170" fontId="4" fillId="7" borderId="4" xfId="2" applyNumberFormat="1" applyFont="1" applyFill="1" applyBorder="1" applyAlignment="1" applyProtection="1">
      <alignment horizontal="center"/>
      <protection locked="0"/>
    </xf>
    <xf numFmtId="170" fontId="4" fillId="7" borderId="12" xfId="2" applyNumberFormat="1" applyFont="1" applyFill="1" applyBorder="1" applyAlignment="1" applyProtection="1">
      <alignment horizontal="center"/>
      <protection locked="0"/>
    </xf>
  </cellXfs>
  <cellStyles count="6">
    <cellStyle name="Hiperlink" xfId="4" builtinId="8"/>
    <cellStyle name="Moeda" xfId="2" builtinId="4"/>
    <cellStyle name="Normal" xfId="0" builtinId="0"/>
    <cellStyle name="Porcentagem" xfId="3" builtinId="5"/>
    <cellStyle name="Texto Explicativo" xfId="5" builtinId="53" customBuiltin="1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1DFF38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FBFBF"/>
      <rgbColor rgb="FF808080"/>
      <rgbColor rgb="FFF2F2F2"/>
      <rgbColor rgb="FF993366"/>
      <rgbColor rgb="FFFFFFCC"/>
      <rgbColor rgb="FFE2F0D9"/>
      <rgbColor rgb="FF660066"/>
      <rgbColor rgb="FFFF8080"/>
      <rgbColor rgb="FF0563C1"/>
      <rgbColor rgb="FFD6DCE5"/>
      <rgbColor rgb="FF000080"/>
      <rgbColor rgb="FFFF00FF"/>
      <rgbColor rgb="FFFBE5D6"/>
      <rgbColor rgb="FF00FFFF"/>
      <rgbColor rgb="FF800080"/>
      <rgbColor rgb="FF800000"/>
      <rgbColor rgb="FF008080"/>
      <rgbColor rgb="FF0000FF"/>
      <rgbColor rgb="FF00B0F0"/>
      <rgbColor rgb="FFDAE3F3"/>
      <rgbColor rgb="FFCCFFCC"/>
      <rgbColor rgb="FFFFE699"/>
      <rgbColor rgb="FFCCCCCC"/>
      <rgbColor rgb="FFDDDDDD"/>
      <rgbColor rgb="FFD9D9D9"/>
      <rgbColor rgb="FFFFCCCC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289560</xdr:colOff>
      <xdr:row>50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0</xdr:colOff>
      <xdr:row>9</xdr:row>
      <xdr:rowOff>228600</xdr:rowOff>
    </xdr:to>
    <xdr:pic>
      <xdr:nvPicPr>
        <xdr:cNvPr id="5" name="Imagem 4" descr="page4image3501410560">
          <a:extLst>
            <a:ext uri="{FF2B5EF4-FFF2-40B4-BE49-F238E27FC236}">
              <a16:creationId xmlns:a16="http://schemas.microsoft.com/office/drawing/2014/main" id="{A8D465ED-6E61-4244-8696-7CA3129DA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3507700"/>
          <a:ext cx="0" cy="556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279400</xdr:colOff>
      <xdr:row>17</xdr:row>
      <xdr:rowOff>0</xdr:rowOff>
    </xdr:from>
    <xdr:to>
      <xdr:col>3</xdr:col>
      <xdr:colOff>3848100</xdr:colOff>
      <xdr:row>17</xdr:row>
      <xdr:rowOff>0</xdr:rowOff>
    </xdr:to>
    <xdr:pic>
      <xdr:nvPicPr>
        <xdr:cNvPr id="6" name="Imagem 5" descr="page4image3501411424">
          <a:extLst>
            <a:ext uri="{FF2B5EF4-FFF2-40B4-BE49-F238E27FC236}">
              <a16:creationId xmlns:a16="http://schemas.microsoft.com/office/drawing/2014/main" id="{D1293043-2474-4D4C-B6DC-E24DFEF68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5676900"/>
          <a:ext cx="932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254000</xdr:colOff>
      <xdr:row>4</xdr:row>
      <xdr:rowOff>0</xdr:rowOff>
    </xdr:from>
    <xdr:to>
      <xdr:col>23</xdr:col>
      <xdr:colOff>495300</xdr:colOff>
      <xdr:row>4</xdr:row>
      <xdr:rowOff>0</xdr:rowOff>
    </xdr:to>
    <xdr:pic>
      <xdr:nvPicPr>
        <xdr:cNvPr id="7" name="Imagem 6" descr="page4image3501411840">
          <a:extLst>
            <a:ext uri="{FF2B5EF4-FFF2-40B4-BE49-F238E27FC236}">
              <a16:creationId xmlns:a16="http://schemas.microsoft.com/office/drawing/2014/main" id="{48249911-1DEC-8543-ABF2-3E3116613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27698700"/>
          <a:ext cx="932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508000</xdr:colOff>
      <xdr:row>4</xdr:row>
      <xdr:rowOff>0</xdr:rowOff>
    </xdr:from>
    <xdr:to>
      <xdr:col>34</xdr:col>
      <xdr:colOff>749300</xdr:colOff>
      <xdr:row>4</xdr:row>
      <xdr:rowOff>0</xdr:rowOff>
    </xdr:to>
    <xdr:pic>
      <xdr:nvPicPr>
        <xdr:cNvPr id="8" name="Imagem 7" descr="page4image3501412128">
          <a:extLst>
            <a:ext uri="{FF2B5EF4-FFF2-40B4-BE49-F238E27FC236}">
              <a16:creationId xmlns:a16="http://schemas.microsoft.com/office/drawing/2014/main" id="{E4C26B4D-2C22-E144-9E18-7561BC214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4500" y="27698700"/>
          <a:ext cx="932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762000</xdr:colOff>
      <xdr:row>4</xdr:row>
      <xdr:rowOff>0</xdr:rowOff>
    </xdr:from>
    <xdr:to>
      <xdr:col>46</xdr:col>
      <xdr:colOff>177800</xdr:colOff>
      <xdr:row>4</xdr:row>
      <xdr:rowOff>0</xdr:rowOff>
    </xdr:to>
    <xdr:pic>
      <xdr:nvPicPr>
        <xdr:cNvPr id="9" name="Imagem 8" descr="page4image3501412416">
          <a:extLst>
            <a:ext uri="{FF2B5EF4-FFF2-40B4-BE49-F238E27FC236}">
              <a16:creationId xmlns:a16="http://schemas.microsoft.com/office/drawing/2014/main" id="{6CE625A8-B3FD-B344-8A3B-E5A6BA919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29000" y="27698700"/>
          <a:ext cx="932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0</xdr:colOff>
      <xdr:row>9</xdr:row>
      <xdr:rowOff>228600</xdr:rowOff>
    </xdr:to>
    <xdr:pic>
      <xdr:nvPicPr>
        <xdr:cNvPr id="11" name="Imagem 10" descr="page5image3450153184">
          <a:extLst>
            <a:ext uri="{FF2B5EF4-FFF2-40B4-BE49-F238E27FC236}">
              <a16:creationId xmlns:a16="http://schemas.microsoft.com/office/drawing/2014/main" id="{3FE67B98-FCE7-D74D-924F-FE969F9BB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4772600"/>
          <a:ext cx="0" cy="556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254000</xdr:colOff>
      <xdr:row>4</xdr:row>
      <xdr:rowOff>0</xdr:rowOff>
    </xdr:from>
    <xdr:to>
      <xdr:col>23</xdr:col>
      <xdr:colOff>495300</xdr:colOff>
      <xdr:row>4</xdr:row>
      <xdr:rowOff>0</xdr:rowOff>
    </xdr:to>
    <xdr:pic>
      <xdr:nvPicPr>
        <xdr:cNvPr id="13" name="Imagem 12" descr="page5image3450154464">
          <a:extLst>
            <a:ext uri="{FF2B5EF4-FFF2-40B4-BE49-F238E27FC236}">
              <a16:creationId xmlns:a16="http://schemas.microsoft.com/office/drawing/2014/main" id="{76C9D289-5FA6-C049-A46F-F005F42E3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38963600"/>
          <a:ext cx="932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508000</xdr:colOff>
      <xdr:row>4</xdr:row>
      <xdr:rowOff>0</xdr:rowOff>
    </xdr:from>
    <xdr:to>
      <xdr:col>34</xdr:col>
      <xdr:colOff>749300</xdr:colOff>
      <xdr:row>4</xdr:row>
      <xdr:rowOff>0</xdr:rowOff>
    </xdr:to>
    <xdr:pic>
      <xdr:nvPicPr>
        <xdr:cNvPr id="14" name="Imagem 13" descr="page5image3450154752">
          <a:extLst>
            <a:ext uri="{FF2B5EF4-FFF2-40B4-BE49-F238E27FC236}">
              <a16:creationId xmlns:a16="http://schemas.microsoft.com/office/drawing/2014/main" id="{761CBDA6-FADC-B44A-BB41-49EF9655F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4500" y="38963600"/>
          <a:ext cx="932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762000</xdr:colOff>
      <xdr:row>4</xdr:row>
      <xdr:rowOff>0</xdr:rowOff>
    </xdr:from>
    <xdr:to>
      <xdr:col>46</xdr:col>
      <xdr:colOff>177800</xdr:colOff>
      <xdr:row>4</xdr:row>
      <xdr:rowOff>0</xdr:rowOff>
    </xdr:to>
    <xdr:pic>
      <xdr:nvPicPr>
        <xdr:cNvPr id="15" name="Imagem 14" descr="page5image3450155040">
          <a:extLst>
            <a:ext uri="{FF2B5EF4-FFF2-40B4-BE49-F238E27FC236}">
              <a16:creationId xmlns:a16="http://schemas.microsoft.com/office/drawing/2014/main" id="{BED96461-629C-4B44-A05D-B3AF387AC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29000" y="38963600"/>
          <a:ext cx="932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190500</xdr:colOff>
      <xdr:row>4</xdr:row>
      <xdr:rowOff>0</xdr:rowOff>
    </xdr:from>
    <xdr:to>
      <xdr:col>57</xdr:col>
      <xdr:colOff>431800</xdr:colOff>
      <xdr:row>4</xdr:row>
      <xdr:rowOff>0</xdr:rowOff>
    </xdr:to>
    <xdr:pic>
      <xdr:nvPicPr>
        <xdr:cNvPr id="16" name="Imagem 15" descr="page5image3450155328">
          <a:extLst>
            <a:ext uri="{FF2B5EF4-FFF2-40B4-BE49-F238E27FC236}">
              <a16:creationId xmlns:a16="http://schemas.microsoft.com/office/drawing/2014/main" id="{34E65716-A228-7C47-91A9-C8E7F2D36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63500" y="38963600"/>
          <a:ext cx="932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49"/>
  <sheetViews>
    <sheetView tabSelected="1" topLeftCell="A31" zoomScale="130" zoomScaleNormal="130" workbookViewId="0">
      <selection activeCell="C44" sqref="C44"/>
    </sheetView>
  </sheetViews>
  <sheetFormatPr baseColWidth="10" defaultColWidth="8.83203125" defaultRowHeight="15" x14ac:dyDescent="0.2"/>
  <cols>
    <col min="1" max="1" width="25.6640625" style="1" customWidth="1"/>
    <col min="2" max="2" width="19.5" style="1" customWidth="1"/>
    <col min="3" max="3" width="15.83203125" style="1" customWidth="1"/>
    <col min="4" max="4" width="14" style="1" customWidth="1"/>
    <col min="5" max="5" width="11" style="1" bestFit="1" customWidth="1"/>
    <col min="6" max="6" width="14.33203125" style="1" customWidth="1"/>
    <col min="7" max="7" width="43.1640625" style="1" customWidth="1"/>
    <col min="8" max="8" width="24.1640625" style="1" customWidth="1"/>
    <col min="9" max="9" width="10.83203125" style="2" customWidth="1"/>
    <col min="10" max="10" width="14.33203125" style="2" bestFit="1" customWidth="1"/>
    <col min="11" max="11" width="16.5" style="2" customWidth="1"/>
    <col min="12" max="12" width="12.83203125" style="2" customWidth="1"/>
    <col min="13" max="57" width="9.1640625" style="2" customWidth="1"/>
    <col min="58" max="1025" width="9.1640625" style="1" customWidth="1"/>
  </cols>
  <sheetData>
    <row r="1" spans="1:22" ht="72" customHeight="1" x14ac:dyDescent="0.2">
      <c r="A1" s="191" t="s">
        <v>446</v>
      </c>
      <c r="B1" s="191"/>
      <c r="C1" s="191"/>
      <c r="D1" s="191"/>
      <c r="E1" s="191"/>
      <c r="F1" s="191"/>
      <c r="G1" s="191"/>
      <c r="H1" s="191"/>
      <c r="J1" s="214" t="s">
        <v>282</v>
      </c>
      <c r="K1" s="214"/>
      <c r="L1" s="214"/>
      <c r="M1" s="214"/>
      <c r="N1" s="214"/>
      <c r="O1" s="214"/>
      <c r="P1" s="214"/>
      <c r="Q1" s="214"/>
      <c r="R1" s="214"/>
      <c r="S1" s="214"/>
      <c r="T1" s="83"/>
      <c r="U1" s="83"/>
      <c r="V1" s="83"/>
    </row>
    <row r="2" spans="1:22" ht="24.75" customHeight="1" thickBot="1" x14ac:dyDescent="0.25">
      <c r="A2" s="192"/>
      <c r="B2" s="193"/>
      <c r="C2" s="193"/>
      <c r="D2" s="193"/>
      <c r="E2" s="193"/>
      <c r="F2" s="193"/>
      <c r="G2" s="193"/>
      <c r="H2" s="193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83"/>
      <c r="U2" s="83"/>
      <c r="V2" s="83"/>
    </row>
    <row r="3" spans="1:22" ht="24.75" customHeight="1" x14ac:dyDescent="0.2">
      <c r="A3" s="215" t="s">
        <v>0</v>
      </c>
      <c r="B3" s="215"/>
      <c r="C3" s="215"/>
      <c r="D3" s="215"/>
      <c r="E3" s="215"/>
      <c r="F3" s="215"/>
      <c r="G3" s="215"/>
      <c r="H3" s="215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83"/>
      <c r="U3" s="83"/>
      <c r="V3" s="83"/>
    </row>
    <row r="4" spans="1:22" x14ac:dyDescent="0.2"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83"/>
      <c r="U4" s="83"/>
      <c r="V4" s="83"/>
    </row>
    <row r="5" spans="1:22" ht="36.75" customHeight="1" x14ac:dyDescent="0.2">
      <c r="A5" s="3" t="s">
        <v>1</v>
      </c>
      <c r="B5" s="194" t="s">
        <v>261</v>
      </c>
      <c r="C5" s="194"/>
      <c r="D5" s="194"/>
      <c r="E5" s="194"/>
      <c r="F5" s="194"/>
      <c r="G5" s="81" t="s">
        <v>2</v>
      </c>
      <c r="H5" s="116" t="s">
        <v>262</v>
      </c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83"/>
      <c r="U5" s="83"/>
      <c r="V5" s="83"/>
    </row>
    <row r="6" spans="1:22" ht="36.75" customHeight="1" x14ac:dyDescent="0.2">
      <c r="A6" s="4" t="s">
        <v>3</v>
      </c>
      <c r="B6" s="117" t="s">
        <v>233</v>
      </c>
      <c r="C6" s="195" t="s">
        <v>4</v>
      </c>
      <c r="D6" s="195"/>
      <c r="E6" s="118">
        <v>24</v>
      </c>
      <c r="F6" s="195" t="s">
        <v>5</v>
      </c>
      <c r="G6" s="195"/>
      <c r="H6" s="119">
        <v>50</v>
      </c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83"/>
      <c r="U6" s="83"/>
      <c r="V6" s="83"/>
    </row>
    <row r="7" spans="1:22" ht="15.75" customHeight="1" x14ac:dyDescent="0.2">
      <c r="A7" s="4" t="s">
        <v>258</v>
      </c>
      <c r="B7" s="188" t="s">
        <v>259</v>
      </c>
      <c r="C7" s="188"/>
      <c r="D7" s="188"/>
      <c r="E7" s="188"/>
      <c r="F7" s="188"/>
      <c r="G7" s="188"/>
      <c r="H7" s="188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83"/>
      <c r="U7" s="83"/>
      <c r="V7" s="83"/>
    </row>
    <row r="8" spans="1:22" ht="16.5" customHeight="1" x14ac:dyDescent="0.2">
      <c r="A8" s="4" t="s">
        <v>257</v>
      </c>
      <c r="B8" s="188" t="s">
        <v>399</v>
      </c>
      <c r="C8" s="188"/>
      <c r="D8" s="188"/>
      <c r="E8" s="188"/>
      <c r="F8" s="188"/>
      <c r="G8" s="188"/>
      <c r="H8" s="188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83"/>
      <c r="U8" s="83"/>
      <c r="V8" s="83"/>
    </row>
    <row r="9" spans="1:22" ht="16.5" customHeight="1" x14ac:dyDescent="0.2">
      <c r="A9" s="4" t="s">
        <v>6</v>
      </c>
      <c r="B9" s="188" t="s">
        <v>7</v>
      </c>
      <c r="C9" s="188"/>
      <c r="D9" s="188"/>
      <c r="E9" s="188"/>
      <c r="F9" s="188"/>
      <c r="G9" s="188"/>
      <c r="H9" s="188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83"/>
      <c r="U9" s="83"/>
      <c r="V9" s="83"/>
    </row>
    <row r="10" spans="1:22" ht="15.75" customHeight="1" x14ac:dyDescent="0.2">
      <c r="A10" s="189" t="s">
        <v>8</v>
      </c>
      <c r="B10" s="189"/>
      <c r="C10" s="189"/>
      <c r="D10" s="189"/>
      <c r="E10" s="189"/>
      <c r="F10" s="189"/>
      <c r="G10" s="189"/>
      <c r="H10" s="189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83"/>
      <c r="U10" s="83"/>
      <c r="V10" s="83"/>
    </row>
    <row r="11" spans="1:22" ht="17.25" customHeight="1" x14ac:dyDescent="0.2">
      <c r="A11" s="190" t="s">
        <v>9</v>
      </c>
      <c r="B11" s="190"/>
      <c r="C11" s="190"/>
      <c r="D11" s="190"/>
      <c r="E11" s="190"/>
      <c r="F11" s="190"/>
      <c r="G11" s="190"/>
      <c r="H11" s="5" t="s">
        <v>10</v>
      </c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</row>
    <row r="12" spans="1:22" ht="25.5" customHeight="1" x14ac:dyDescent="0.2">
      <c r="A12" s="183" t="s">
        <v>11</v>
      </c>
      <c r="B12" s="183"/>
      <c r="C12" s="183"/>
      <c r="D12" s="183"/>
      <c r="E12" s="183"/>
      <c r="F12" s="183"/>
      <c r="G12" s="183"/>
      <c r="H12" s="6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</row>
    <row r="13" spans="1:22" ht="14.25" customHeight="1" x14ac:dyDescent="0.2">
      <c r="A13" s="184" t="s">
        <v>12</v>
      </c>
      <c r="B13" s="184"/>
      <c r="C13" s="184"/>
      <c r="D13" s="184"/>
      <c r="E13" s="184"/>
      <c r="F13" s="184"/>
      <c r="G13" s="184"/>
      <c r="H13" s="7">
        <f>Servidores!E51</f>
        <v>237163.40000000008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</row>
    <row r="14" spans="1:22" ht="14.25" customHeight="1" x14ac:dyDescent="0.2">
      <c r="A14" s="185" t="s">
        <v>13</v>
      </c>
      <c r="B14" s="185"/>
      <c r="C14" s="185"/>
      <c r="D14" s="185"/>
      <c r="E14" s="185"/>
      <c r="F14" s="185"/>
      <c r="G14" s="185"/>
      <c r="H14" s="7">
        <f>'Serviços - PF'!E51</f>
        <v>46669.200000000004</v>
      </c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</row>
    <row r="15" spans="1:22" ht="14.25" customHeight="1" x14ac:dyDescent="0.2">
      <c r="A15" s="187" t="s">
        <v>434</v>
      </c>
      <c r="B15" s="187"/>
      <c r="C15" s="187"/>
      <c r="D15" s="187"/>
      <c r="E15" s="187"/>
      <c r="F15" s="187"/>
      <c r="G15" s="187"/>
      <c r="H15" s="7">
        <f>'Serviços - PF'!E71</f>
        <v>0</v>
      </c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</row>
    <row r="16" spans="1:22" ht="14.25" customHeight="1" x14ac:dyDescent="0.2">
      <c r="A16" s="186" t="s">
        <v>435</v>
      </c>
      <c r="B16" s="186"/>
      <c r="C16" s="186"/>
      <c r="D16" s="186"/>
      <c r="E16" s="186"/>
      <c r="F16" s="186"/>
      <c r="G16" s="186"/>
      <c r="H16" s="8">
        <f>Estagiários!J13</f>
        <v>28244.04</v>
      </c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</row>
    <row r="17" spans="1:22" x14ac:dyDescent="0.2">
      <c r="A17" s="186" t="s">
        <v>436</v>
      </c>
      <c r="B17" s="186"/>
      <c r="C17" s="186"/>
      <c r="D17" s="186"/>
      <c r="E17" s="186"/>
      <c r="F17" s="186"/>
      <c r="G17" s="186"/>
      <c r="H17" s="9">
        <f>0.2*(H13+H14+H24)</f>
        <v>61540.792000000016</v>
      </c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</row>
    <row r="18" spans="1:22" ht="14.25" customHeight="1" x14ac:dyDescent="0.2">
      <c r="A18" s="196" t="s">
        <v>437</v>
      </c>
      <c r="B18" s="196"/>
      <c r="C18" s="196"/>
      <c r="D18" s="196"/>
      <c r="E18" s="196"/>
      <c r="F18" s="196"/>
      <c r="G18" s="196"/>
      <c r="H18" s="66">
        <f>SUM(H13:H17)</f>
        <v>373617.43200000009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</row>
    <row r="19" spans="1:22" ht="15" customHeight="1" x14ac:dyDescent="0.2">
      <c r="A19" s="197" t="s">
        <v>14</v>
      </c>
      <c r="B19" s="197"/>
      <c r="C19" s="197"/>
      <c r="D19" s="197"/>
      <c r="E19" s="197"/>
      <c r="F19" s="197"/>
      <c r="G19" s="197"/>
      <c r="H19" s="10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</row>
    <row r="20" spans="1:22" ht="14.25" customHeight="1" x14ac:dyDescent="0.2">
      <c r="A20" s="198" t="s">
        <v>15</v>
      </c>
      <c r="B20" s="198"/>
      <c r="C20" s="198" t="s">
        <v>16</v>
      </c>
      <c r="D20" s="198"/>
      <c r="E20" s="198"/>
      <c r="F20" s="198"/>
      <c r="G20" s="198"/>
      <c r="H20" s="108" t="s">
        <v>17</v>
      </c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</row>
    <row r="21" spans="1:22" ht="18" customHeight="1" x14ac:dyDescent="0.2">
      <c r="A21" s="199" t="s">
        <v>18</v>
      </c>
      <c r="B21" s="199"/>
      <c r="C21" s="200">
        <v>339014</v>
      </c>
      <c r="D21" s="200"/>
      <c r="E21" s="200"/>
      <c r="F21" s="200"/>
      <c r="G21" s="200"/>
      <c r="H21" s="7">
        <f>'Diárias e Passagens'!E9</f>
        <v>4248</v>
      </c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</row>
    <row r="22" spans="1:22" ht="18" customHeight="1" x14ac:dyDescent="0.2">
      <c r="A22" s="199" t="s">
        <v>19</v>
      </c>
      <c r="B22" s="199"/>
      <c r="C22" s="200">
        <v>339033</v>
      </c>
      <c r="D22" s="200"/>
      <c r="E22" s="200"/>
      <c r="F22" s="200"/>
      <c r="G22" s="200"/>
      <c r="H22" s="7">
        <f>'Diárias e Passagens'!E15</f>
        <v>12744</v>
      </c>
      <c r="J22" s="11"/>
    </row>
    <row r="23" spans="1:22" ht="18" customHeight="1" x14ac:dyDescent="0.2">
      <c r="A23" s="199" t="s">
        <v>20</v>
      </c>
      <c r="B23" s="199"/>
      <c r="C23" s="200">
        <v>339030</v>
      </c>
      <c r="D23" s="200"/>
      <c r="E23" s="200"/>
      <c r="F23" s="200"/>
      <c r="G23" s="200"/>
      <c r="H23" s="7">
        <f>'Material de Consumo'!C21</f>
        <v>24793.510000000002</v>
      </c>
    </row>
    <row r="24" spans="1:22" ht="18" customHeight="1" x14ac:dyDescent="0.2">
      <c r="A24" s="199" t="s">
        <v>21</v>
      </c>
      <c r="B24" s="199"/>
      <c r="C24" s="200">
        <v>339036</v>
      </c>
      <c r="D24" s="200"/>
      <c r="E24" s="200"/>
      <c r="F24" s="200"/>
      <c r="G24" s="200"/>
      <c r="H24" s="7">
        <f>'Serviços - PF'!E26</f>
        <v>23871.360000000001</v>
      </c>
    </row>
    <row r="25" spans="1:22" ht="18" customHeight="1" x14ac:dyDescent="0.2">
      <c r="A25" s="199" t="s">
        <v>22</v>
      </c>
      <c r="B25" s="199"/>
      <c r="C25" s="200">
        <v>339039</v>
      </c>
      <c r="D25" s="200"/>
      <c r="E25" s="200"/>
      <c r="F25" s="200"/>
      <c r="G25" s="200"/>
      <c r="H25" s="7">
        <f>'Serviços - PJ'!B31</f>
        <v>38889.000000000007</v>
      </c>
    </row>
    <row r="26" spans="1:22" ht="18" customHeight="1" x14ac:dyDescent="0.2">
      <c r="A26" s="199" t="s">
        <v>23</v>
      </c>
      <c r="B26" s="199"/>
      <c r="C26" s="200">
        <v>449052</v>
      </c>
      <c r="D26" s="200"/>
      <c r="E26" s="200"/>
      <c r="F26" s="200"/>
      <c r="G26" s="200"/>
      <c r="H26" s="7">
        <f>Investimento!E17</f>
        <v>55320.7</v>
      </c>
    </row>
    <row r="27" spans="1:22" ht="18" customHeight="1" x14ac:dyDescent="0.2">
      <c r="A27" s="202" t="s">
        <v>24</v>
      </c>
      <c r="B27" s="202"/>
      <c r="C27" s="203">
        <v>339018</v>
      </c>
      <c r="D27" s="203"/>
      <c r="E27" s="203"/>
      <c r="F27" s="203"/>
      <c r="G27" s="203"/>
      <c r="H27" s="12">
        <f>Bolsas!B12</f>
        <v>43200</v>
      </c>
    </row>
    <row r="28" spans="1:22" ht="14.25" customHeight="1" x14ac:dyDescent="0.2">
      <c r="A28" s="201" t="s">
        <v>25</v>
      </c>
      <c r="B28" s="201"/>
      <c r="C28" s="201"/>
      <c r="D28" s="201"/>
      <c r="E28" s="201"/>
      <c r="F28" s="201"/>
      <c r="G28" s="201"/>
      <c r="H28" s="66">
        <f>SUM(H21:H27)</f>
        <v>203066.57</v>
      </c>
    </row>
    <row r="29" spans="1:22" ht="15" customHeight="1" x14ac:dyDescent="0.2">
      <c r="A29" s="197" t="s">
        <v>26</v>
      </c>
      <c r="B29" s="197"/>
      <c r="C29" s="197"/>
      <c r="D29" s="197"/>
      <c r="E29" s="197"/>
      <c r="F29" s="197"/>
      <c r="G29" s="197"/>
      <c r="H29" s="10"/>
    </row>
    <row r="30" spans="1:22" ht="14.25" customHeight="1" x14ac:dyDescent="0.2">
      <c r="A30" s="184" t="s">
        <v>442</v>
      </c>
      <c r="B30" s="184"/>
      <c r="C30" s="184"/>
      <c r="D30" s="184"/>
      <c r="E30" s="184"/>
      <c r="F30" s="184"/>
      <c r="G30" s="13">
        <v>0.03</v>
      </c>
      <c r="H30" s="14">
        <f>C43*G30</f>
        <v>31266</v>
      </c>
      <c r="J30" s="65"/>
      <c r="K30" s="65"/>
    </row>
    <row r="31" spans="1:22" ht="14.25" customHeight="1" x14ac:dyDescent="0.2">
      <c r="A31" s="184" t="s">
        <v>443</v>
      </c>
      <c r="B31" s="184"/>
      <c r="C31" s="184"/>
      <c r="D31" s="184"/>
      <c r="E31" s="184"/>
      <c r="F31" s="184"/>
      <c r="G31" s="13">
        <v>0.15</v>
      </c>
      <c r="H31" s="14">
        <f>C43*G31</f>
        <v>156330</v>
      </c>
      <c r="J31" s="65"/>
      <c r="K31" s="65"/>
    </row>
    <row r="32" spans="1:22" ht="14.25" customHeight="1" x14ac:dyDescent="0.2">
      <c r="A32" s="201" t="s">
        <v>27</v>
      </c>
      <c r="B32" s="201"/>
      <c r="C32" s="201"/>
      <c r="D32" s="201"/>
      <c r="E32" s="201"/>
      <c r="F32" s="201"/>
      <c r="G32" s="201"/>
      <c r="H32" s="67">
        <f>H31+H30</f>
        <v>187596</v>
      </c>
    </row>
    <row r="33" spans="1:12" ht="15.75" customHeight="1" x14ac:dyDescent="0.2">
      <c r="A33" s="228" t="s">
        <v>438</v>
      </c>
      <c r="B33" s="228"/>
      <c r="C33" s="228"/>
      <c r="D33" s="228"/>
      <c r="E33" s="228"/>
      <c r="F33" s="228"/>
      <c r="G33" s="228"/>
      <c r="H33" s="68">
        <f>H32+H28+H18</f>
        <v>764280.00200000009</v>
      </c>
    </row>
    <row r="34" spans="1:12" s="2" customFormat="1" ht="14" x14ac:dyDescent="0.15"/>
    <row r="35" spans="1:12" s="15" customFormat="1" ht="16" x14ac:dyDescent="0.2"/>
    <row r="36" spans="1:12" s="15" customFormat="1" ht="16" x14ac:dyDescent="0.2">
      <c r="A36" s="229" t="s">
        <v>28</v>
      </c>
      <c r="B36" s="229"/>
      <c r="C36" s="229"/>
      <c r="D36" s="229"/>
      <c r="E36" s="229"/>
      <c r="F36" s="229"/>
      <c r="G36" s="229"/>
      <c r="H36" s="229"/>
      <c r="I36" s="16"/>
      <c r="J36" s="17"/>
      <c r="K36" s="72"/>
    </row>
    <row r="37" spans="1:12" s="15" customFormat="1" ht="16" x14ac:dyDescent="0.2">
      <c r="A37" s="223" t="s">
        <v>29</v>
      </c>
      <c r="B37" s="223"/>
      <c r="C37" s="107" t="s">
        <v>30</v>
      </c>
      <c r="D37" s="230" t="s">
        <v>31</v>
      </c>
      <c r="E37" s="230"/>
      <c r="F37" s="230"/>
      <c r="G37" s="230" t="s">
        <v>32</v>
      </c>
      <c r="H37" s="230"/>
      <c r="I37" s="17"/>
      <c r="J37" s="17"/>
    </row>
    <row r="38" spans="1:12" s="15" customFormat="1" ht="16" x14ac:dyDescent="0.2">
      <c r="A38" s="223" t="s">
        <v>33</v>
      </c>
      <c r="B38" s="223"/>
      <c r="C38" s="18">
        <f>H6</f>
        <v>50</v>
      </c>
      <c r="D38" s="224">
        <v>0.2</v>
      </c>
      <c r="E38" s="224"/>
      <c r="F38" s="224"/>
      <c r="G38" s="225">
        <f>(H33-Migrantes!E16+Descontos!C16)/C41</f>
        <v>23160.000060606064</v>
      </c>
      <c r="H38" s="225"/>
      <c r="I38" s="17"/>
      <c r="J38" s="17"/>
      <c r="K38" s="19"/>
    </row>
    <row r="39" spans="1:12" s="15" customFormat="1" ht="16" x14ac:dyDescent="0.2">
      <c r="A39" s="226" t="s">
        <v>34</v>
      </c>
      <c r="B39" s="226"/>
      <c r="C39" s="120">
        <v>5</v>
      </c>
      <c r="D39" s="227">
        <f>C40*(1-D38)</f>
        <v>32.4</v>
      </c>
      <c r="E39" s="227"/>
      <c r="F39" s="227"/>
      <c r="G39" s="225"/>
      <c r="H39" s="225"/>
      <c r="I39" s="17"/>
      <c r="J39" s="17"/>
    </row>
    <row r="40" spans="1:12" s="15" customFormat="1" ht="30" customHeight="1" x14ac:dyDescent="0.2">
      <c r="A40" s="205" t="s">
        <v>35</v>
      </c>
      <c r="B40" s="205"/>
      <c r="C40" s="182">
        <f>(C38-C39)*0.9</f>
        <v>40.5</v>
      </c>
      <c r="D40" s="206" t="s">
        <v>36</v>
      </c>
      <c r="E40" s="206"/>
      <c r="F40" s="206"/>
      <c r="G40" s="207">
        <f>0.9*G38</f>
        <v>20844.000054545457</v>
      </c>
      <c r="H40" s="207"/>
      <c r="I40" s="17"/>
      <c r="J40" s="17"/>
      <c r="L40" s="19"/>
    </row>
    <row r="41" spans="1:12" s="15" customFormat="1" ht="17" thickBot="1" x14ac:dyDescent="0.25">
      <c r="A41" s="208" t="s">
        <v>37</v>
      </c>
      <c r="B41" s="208"/>
      <c r="C41" s="20">
        <f>ROUNDUP(D39,0)</f>
        <v>33</v>
      </c>
      <c r="D41" s="21"/>
      <c r="E41" s="21"/>
      <c r="F41" s="21"/>
      <c r="G41" s="22"/>
      <c r="H41" s="22"/>
      <c r="I41" s="17"/>
      <c r="J41" s="17"/>
    </row>
    <row r="42" spans="1:12" s="15" customFormat="1" ht="66" customHeight="1" thickBot="1" x14ac:dyDescent="0.25">
      <c r="A42" s="213" t="s">
        <v>0</v>
      </c>
      <c r="B42" s="213"/>
      <c r="C42" s="213"/>
      <c r="D42" s="21"/>
      <c r="E42" s="21"/>
      <c r="F42" s="21"/>
      <c r="G42" s="211" t="s">
        <v>38</v>
      </c>
      <c r="H42" s="212"/>
      <c r="I42" s="17"/>
      <c r="J42" s="17"/>
    </row>
    <row r="43" spans="1:12" s="15" customFormat="1" ht="17" thickBot="1" x14ac:dyDescent="0.25">
      <c r="A43" s="209" t="s">
        <v>432</v>
      </c>
      <c r="B43" s="210"/>
      <c r="C43" s="23">
        <f>(C38-C39)*B48+Migrantes!E16-Descontos!C16</f>
        <v>1042200</v>
      </c>
      <c r="D43" s="21"/>
      <c r="E43" s="21"/>
      <c r="F43" s="21"/>
      <c r="G43" s="73" t="s">
        <v>39</v>
      </c>
      <c r="H43" s="181">
        <v>45</v>
      </c>
      <c r="I43" s="17"/>
      <c r="J43" s="17"/>
    </row>
    <row r="44" spans="1:12" s="15" customFormat="1" ht="17" thickBot="1" x14ac:dyDescent="0.25">
      <c r="A44" s="216" t="s">
        <v>40</v>
      </c>
      <c r="B44" s="217"/>
      <c r="C44" s="23">
        <f>(C38-C39-C41)*B48</f>
        <v>277920</v>
      </c>
      <c r="D44" s="82"/>
      <c r="E44" s="21"/>
      <c r="F44" s="21"/>
      <c r="G44" s="73" t="s">
        <v>431</v>
      </c>
      <c r="H44" s="71">
        <f>B48</f>
        <v>23160</v>
      </c>
      <c r="I44" s="17"/>
      <c r="J44" s="17"/>
    </row>
    <row r="45" spans="1:12" s="15" customFormat="1" ht="16" x14ac:dyDescent="0.2">
      <c r="A45" s="17"/>
      <c r="B45" s="17"/>
      <c r="C45" s="17"/>
      <c r="D45" s="17"/>
      <c r="E45" s="17"/>
      <c r="F45" s="24"/>
      <c r="G45" s="73" t="s">
        <v>41</v>
      </c>
      <c r="H45" s="71">
        <f>C43</f>
        <v>1042200</v>
      </c>
      <c r="I45" s="17"/>
      <c r="J45" s="17"/>
    </row>
    <row r="46" spans="1:12" s="15" customFormat="1" ht="16" x14ac:dyDescent="0.2">
      <c r="A46" s="25" t="s">
        <v>42</v>
      </c>
      <c r="B46" s="218">
        <v>965</v>
      </c>
      <c r="C46" s="219"/>
      <c r="D46" s="219"/>
      <c r="E46" s="220"/>
      <c r="F46" s="24"/>
      <c r="G46" s="69" t="s">
        <v>43</v>
      </c>
      <c r="H46" s="71">
        <f>H45*3%</f>
        <v>31266</v>
      </c>
      <c r="I46" s="26"/>
      <c r="J46" s="70"/>
    </row>
    <row r="47" spans="1:12" s="15" customFormat="1" ht="16" x14ac:dyDescent="0.2">
      <c r="A47" s="25" t="s">
        <v>44</v>
      </c>
      <c r="B47" s="121">
        <v>23</v>
      </c>
      <c r="C47" s="122">
        <v>965</v>
      </c>
      <c r="D47" s="221">
        <f>C47*B47</f>
        <v>22195</v>
      </c>
      <c r="E47" s="222"/>
      <c r="F47" s="17"/>
      <c r="G47" s="69" t="s">
        <v>386</v>
      </c>
      <c r="H47" s="71">
        <f>H45*15%</f>
        <v>156330</v>
      </c>
      <c r="I47" s="17"/>
      <c r="J47" s="70"/>
    </row>
    <row r="48" spans="1:12" s="15" customFormat="1" ht="16" x14ac:dyDescent="0.2">
      <c r="A48" s="25" t="s">
        <v>33</v>
      </c>
      <c r="B48" s="204">
        <f>D47+B46</f>
        <v>23160</v>
      </c>
      <c r="C48" s="204"/>
      <c r="D48" s="204"/>
      <c r="E48" s="204"/>
      <c r="F48" s="27"/>
      <c r="G48" s="74" t="s">
        <v>45</v>
      </c>
      <c r="H48" s="71">
        <f>H18+H28</f>
        <v>576684.00200000009</v>
      </c>
      <c r="I48" s="17"/>
      <c r="J48" s="17"/>
    </row>
    <row r="49" spans="7:10" s="15" customFormat="1" ht="16.5" customHeight="1" x14ac:dyDescent="0.2">
      <c r="G49" s="74" t="s">
        <v>439</v>
      </c>
      <c r="H49" s="71">
        <f>H45-H46-H47-H48</f>
        <v>277919.99799999991</v>
      </c>
      <c r="I49" s="28"/>
      <c r="J49" s="28"/>
    </row>
  </sheetData>
  <sheetProtection sheet="1" objects="1" scenarios="1"/>
  <mergeCells count="62">
    <mergeCell ref="J1:S10"/>
    <mergeCell ref="A3:H3"/>
    <mergeCell ref="A44:B44"/>
    <mergeCell ref="B46:E46"/>
    <mergeCell ref="D47:E47"/>
    <mergeCell ref="A38:B38"/>
    <mergeCell ref="D38:F38"/>
    <mergeCell ref="G38:H39"/>
    <mergeCell ref="A39:B39"/>
    <mergeCell ref="D39:F39"/>
    <mergeCell ref="A33:G33"/>
    <mergeCell ref="A36:H36"/>
    <mergeCell ref="A37:B37"/>
    <mergeCell ref="D37:F37"/>
    <mergeCell ref="G37:H37"/>
    <mergeCell ref="A28:G28"/>
    <mergeCell ref="B48:E48"/>
    <mergeCell ref="A40:B40"/>
    <mergeCell ref="D40:F40"/>
    <mergeCell ref="G40:H40"/>
    <mergeCell ref="A41:B41"/>
    <mergeCell ref="A43:B43"/>
    <mergeCell ref="G42:H42"/>
    <mergeCell ref="A42:C42"/>
    <mergeCell ref="A29:G29"/>
    <mergeCell ref="A30:F30"/>
    <mergeCell ref="A31:F31"/>
    <mergeCell ref="A32:G32"/>
    <mergeCell ref="A25:B25"/>
    <mergeCell ref="C25:G25"/>
    <mergeCell ref="A26:B26"/>
    <mergeCell ref="C26:G26"/>
    <mergeCell ref="A27:B27"/>
    <mergeCell ref="C27:G27"/>
    <mergeCell ref="A22:B22"/>
    <mergeCell ref="C22:G22"/>
    <mergeCell ref="A23:B23"/>
    <mergeCell ref="C23:G23"/>
    <mergeCell ref="A24:B24"/>
    <mergeCell ref="C24:G24"/>
    <mergeCell ref="A18:G18"/>
    <mergeCell ref="A19:G19"/>
    <mergeCell ref="A20:B20"/>
    <mergeCell ref="C20:G20"/>
    <mergeCell ref="A21:B21"/>
    <mergeCell ref="C21:G21"/>
    <mergeCell ref="A1:H1"/>
    <mergeCell ref="A2:H2"/>
    <mergeCell ref="B5:F5"/>
    <mergeCell ref="C6:D6"/>
    <mergeCell ref="F6:G6"/>
    <mergeCell ref="B7:H7"/>
    <mergeCell ref="B8:H8"/>
    <mergeCell ref="B9:H9"/>
    <mergeCell ref="A10:H10"/>
    <mergeCell ref="A11:G11"/>
    <mergeCell ref="A12:G12"/>
    <mergeCell ref="A13:G13"/>
    <mergeCell ref="A14:G14"/>
    <mergeCell ref="A16:G16"/>
    <mergeCell ref="A17:G17"/>
    <mergeCell ref="A15:G15"/>
  </mergeCells>
  <printOptions horizontalCentered="1"/>
  <pageMargins left="0.31527777777777799" right="0.31527777777777799" top="0.78749999999999998" bottom="0.78749999999999998" header="0.51180555555555496" footer="0.51180555555555496"/>
  <pageSetup paperSize="9" scale="54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Z51"/>
  <sheetViews>
    <sheetView zoomScale="130" zoomScaleNormal="130" workbookViewId="0">
      <pane xSplit="2" ySplit="3" topLeftCell="C32" activePane="bottomRight" state="frozen"/>
      <selection pane="topRight" activeCell="C1" sqref="C1"/>
      <selection pane="bottomLeft" activeCell="A4" sqref="A4"/>
      <selection pane="bottomRight" activeCell="D47" sqref="D47"/>
    </sheetView>
  </sheetViews>
  <sheetFormatPr baseColWidth="10" defaultColWidth="8.83203125" defaultRowHeight="15" x14ac:dyDescent="0.2"/>
  <cols>
    <col min="1" max="1" width="2.33203125" style="43" customWidth="1"/>
    <col min="2" max="2" width="44.5" style="44" customWidth="1"/>
    <col min="3" max="3" width="14.5" style="44" customWidth="1"/>
    <col min="4" max="4" width="11.1640625" customWidth="1"/>
    <col min="5" max="5" width="11.33203125" customWidth="1"/>
    <col min="6" max="6" width="12.33203125" customWidth="1"/>
    <col min="7" max="8" width="11.1640625" bestFit="1" customWidth="1"/>
    <col min="9" max="9" width="12.1640625" customWidth="1"/>
    <col min="10" max="12" width="11.1640625" bestFit="1" customWidth="1"/>
    <col min="13" max="13" width="11.33203125" customWidth="1"/>
    <col min="14" max="14" width="11.83203125" customWidth="1"/>
    <col min="15" max="19" width="11.1640625" bestFit="1" customWidth="1"/>
    <col min="20" max="20" width="12.5" customWidth="1"/>
    <col min="21" max="28" width="11.1640625" bestFit="1" customWidth="1"/>
    <col min="29" max="29" width="14.33203125" customWidth="1"/>
    <col min="30" max="104" width="9.1640625" style="43" customWidth="1"/>
    <col min="105" max="1025" width="8.5" customWidth="1"/>
  </cols>
  <sheetData>
    <row r="1" spans="1:104" s="43" customFormat="1" ht="16" x14ac:dyDescent="0.2">
      <c r="B1" s="277" t="s">
        <v>414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</row>
    <row r="2" spans="1:104" s="43" customFormat="1" ht="16" x14ac:dyDescent="0.2">
      <c r="B2" s="277" t="str">
        <f>'Custo do Curso'!B5</f>
        <v>Nome Projeto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</row>
    <row r="3" spans="1:104" s="43" customFormat="1" x14ac:dyDescent="0.2">
      <c r="B3" s="45"/>
      <c r="C3" s="45"/>
    </row>
    <row r="4" spans="1:104" ht="16" x14ac:dyDescent="0.2">
      <c r="B4" s="269" t="s">
        <v>127</v>
      </c>
      <c r="C4" s="269" t="s">
        <v>128</v>
      </c>
      <c r="D4" s="269"/>
      <c r="E4" s="269" t="s">
        <v>129</v>
      </c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</row>
    <row r="5" spans="1:104" s="48" customFormat="1" ht="16" x14ac:dyDescent="0.2">
      <c r="A5" s="46"/>
      <c r="B5" s="269"/>
      <c r="C5" s="269"/>
      <c r="D5" s="269"/>
      <c r="E5" s="113">
        <v>1</v>
      </c>
      <c r="F5" s="113">
        <v>2</v>
      </c>
      <c r="G5" s="113">
        <v>3</v>
      </c>
      <c r="H5" s="113">
        <v>4</v>
      </c>
      <c r="I5" s="113">
        <v>5</v>
      </c>
      <c r="J5" s="113">
        <v>6</v>
      </c>
      <c r="K5" s="113">
        <v>7</v>
      </c>
      <c r="L5" s="113">
        <v>8</v>
      </c>
      <c r="M5" s="113">
        <v>9</v>
      </c>
      <c r="N5" s="113">
        <v>10</v>
      </c>
      <c r="O5" s="113">
        <v>11</v>
      </c>
      <c r="P5" s="113">
        <v>12</v>
      </c>
      <c r="Q5" s="113">
        <v>13</v>
      </c>
      <c r="R5" s="113">
        <v>14</v>
      </c>
      <c r="S5" s="113">
        <v>15</v>
      </c>
      <c r="T5" s="113">
        <v>16</v>
      </c>
      <c r="U5" s="113">
        <v>17</v>
      </c>
      <c r="V5" s="113">
        <v>18</v>
      </c>
      <c r="W5" s="113">
        <v>19</v>
      </c>
      <c r="X5" s="113">
        <v>20</v>
      </c>
      <c r="Y5" s="113">
        <v>21</v>
      </c>
      <c r="Z5" s="113">
        <v>22</v>
      </c>
      <c r="AA5" s="113">
        <v>23</v>
      </c>
      <c r="AB5" s="113">
        <v>24</v>
      </c>
      <c r="AC5" s="47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</row>
    <row r="6" spans="1:104" x14ac:dyDescent="0.2">
      <c r="B6" s="270" t="s">
        <v>130</v>
      </c>
      <c r="C6" s="271">
        <f>Servidores!L51</f>
        <v>25720.080000000002</v>
      </c>
      <c r="D6" s="49" t="s">
        <v>131</v>
      </c>
      <c r="E6" s="176">
        <f>1/'Custo do Curso'!$E$6</f>
        <v>4.1666666666666664E-2</v>
      </c>
      <c r="F6" s="176">
        <f>1/'Custo do Curso'!$E$6</f>
        <v>4.1666666666666664E-2</v>
      </c>
      <c r="G6" s="176">
        <f>1/'Custo do Curso'!$E$6</f>
        <v>4.1666666666666664E-2</v>
      </c>
      <c r="H6" s="176">
        <f>1/'Custo do Curso'!$E$6</f>
        <v>4.1666666666666664E-2</v>
      </c>
      <c r="I6" s="176">
        <f>1/'Custo do Curso'!$E$6</f>
        <v>4.1666666666666664E-2</v>
      </c>
      <c r="J6" s="176">
        <f>1/'Custo do Curso'!$E$6</f>
        <v>4.1666666666666664E-2</v>
      </c>
      <c r="K6" s="176">
        <f>1/'Custo do Curso'!$E$6</f>
        <v>4.1666666666666664E-2</v>
      </c>
      <c r="L6" s="176">
        <f>1/'Custo do Curso'!$E$6</f>
        <v>4.1666666666666664E-2</v>
      </c>
      <c r="M6" s="176">
        <f>1/'Custo do Curso'!$E$6</f>
        <v>4.1666666666666664E-2</v>
      </c>
      <c r="N6" s="176">
        <f>1/'Custo do Curso'!$E$6</f>
        <v>4.1666666666666664E-2</v>
      </c>
      <c r="O6" s="176">
        <f>1/'Custo do Curso'!$E$6</f>
        <v>4.1666666666666664E-2</v>
      </c>
      <c r="P6" s="176">
        <f>1/'Custo do Curso'!$E$6</f>
        <v>4.1666666666666664E-2</v>
      </c>
      <c r="Q6" s="176">
        <f>1/'Custo do Curso'!$E$6</f>
        <v>4.1666666666666664E-2</v>
      </c>
      <c r="R6" s="176">
        <f>1/'Custo do Curso'!$E$6</f>
        <v>4.1666666666666664E-2</v>
      </c>
      <c r="S6" s="176">
        <f>1/'Custo do Curso'!$E$6</f>
        <v>4.1666666666666664E-2</v>
      </c>
      <c r="T6" s="176">
        <f>1/'Custo do Curso'!$E$6</f>
        <v>4.1666666666666664E-2</v>
      </c>
      <c r="U6" s="176">
        <f>1/'Custo do Curso'!$E$6</f>
        <v>4.1666666666666664E-2</v>
      </c>
      <c r="V6" s="176">
        <f>1/'Custo do Curso'!$E$6</f>
        <v>4.1666666666666664E-2</v>
      </c>
      <c r="W6" s="176">
        <f>1/'Custo do Curso'!$E$6</f>
        <v>4.1666666666666664E-2</v>
      </c>
      <c r="X6" s="176">
        <f>1/'Custo do Curso'!$E$6</f>
        <v>4.1666666666666664E-2</v>
      </c>
      <c r="Y6" s="176">
        <f>1/'Custo do Curso'!$E$6</f>
        <v>4.1666666666666664E-2</v>
      </c>
      <c r="Z6" s="176">
        <f>1/'Custo do Curso'!$E$6</f>
        <v>4.1666666666666664E-2</v>
      </c>
      <c r="AA6" s="176">
        <f>1/'Custo do Curso'!$E$6</f>
        <v>4.1666666666666664E-2</v>
      </c>
      <c r="AB6" s="176">
        <f>1/'Custo do Curso'!$E$6</f>
        <v>4.1666666666666664E-2</v>
      </c>
      <c r="AC6" s="50">
        <f t="shared" ref="AC6:AC32" si="0">SUM(E6:AB6)</f>
        <v>0.99999999999999956</v>
      </c>
    </row>
    <row r="7" spans="1:104" x14ac:dyDescent="0.2">
      <c r="B7" s="270"/>
      <c r="C7" s="271"/>
      <c r="D7" s="51" t="s">
        <v>132</v>
      </c>
      <c r="E7" s="52">
        <f>E6*$C$6</f>
        <v>1071.67</v>
      </c>
      <c r="F7" s="52">
        <f t="shared" ref="F7:AB7" si="1">F6*$C$6</f>
        <v>1071.67</v>
      </c>
      <c r="G7" s="52">
        <f t="shared" si="1"/>
        <v>1071.67</v>
      </c>
      <c r="H7" s="52">
        <f t="shared" si="1"/>
        <v>1071.67</v>
      </c>
      <c r="I7" s="52">
        <f t="shared" si="1"/>
        <v>1071.67</v>
      </c>
      <c r="J7" s="52">
        <f t="shared" si="1"/>
        <v>1071.67</v>
      </c>
      <c r="K7" s="52">
        <f t="shared" si="1"/>
        <v>1071.67</v>
      </c>
      <c r="L7" s="52">
        <f t="shared" si="1"/>
        <v>1071.67</v>
      </c>
      <c r="M7" s="52">
        <f t="shared" si="1"/>
        <v>1071.67</v>
      </c>
      <c r="N7" s="52">
        <f t="shared" si="1"/>
        <v>1071.67</v>
      </c>
      <c r="O7" s="52">
        <f t="shared" si="1"/>
        <v>1071.67</v>
      </c>
      <c r="P7" s="52">
        <f t="shared" si="1"/>
        <v>1071.67</v>
      </c>
      <c r="Q7" s="52">
        <f t="shared" si="1"/>
        <v>1071.67</v>
      </c>
      <c r="R7" s="52">
        <f t="shared" si="1"/>
        <v>1071.67</v>
      </c>
      <c r="S7" s="52">
        <f t="shared" si="1"/>
        <v>1071.67</v>
      </c>
      <c r="T7" s="52">
        <f t="shared" si="1"/>
        <v>1071.67</v>
      </c>
      <c r="U7" s="52">
        <f t="shared" si="1"/>
        <v>1071.67</v>
      </c>
      <c r="V7" s="52">
        <f t="shared" si="1"/>
        <v>1071.67</v>
      </c>
      <c r="W7" s="52">
        <f t="shared" si="1"/>
        <v>1071.67</v>
      </c>
      <c r="X7" s="52">
        <f t="shared" si="1"/>
        <v>1071.67</v>
      </c>
      <c r="Y7" s="52">
        <f t="shared" si="1"/>
        <v>1071.67</v>
      </c>
      <c r="Z7" s="52">
        <f t="shared" si="1"/>
        <v>1071.67</v>
      </c>
      <c r="AA7" s="52">
        <f t="shared" si="1"/>
        <v>1071.67</v>
      </c>
      <c r="AB7" s="52">
        <f t="shared" si="1"/>
        <v>1071.67</v>
      </c>
      <c r="AC7" s="53">
        <f t="shared" si="0"/>
        <v>25720.079999999987</v>
      </c>
    </row>
    <row r="8" spans="1:104" x14ac:dyDescent="0.2">
      <c r="B8" s="270" t="s">
        <v>133</v>
      </c>
      <c r="C8" s="271">
        <f>Servidores!M51</f>
        <v>25720.080000000002</v>
      </c>
      <c r="D8" s="49" t="s">
        <v>131</v>
      </c>
      <c r="E8" s="176">
        <f>1/'Custo do Curso'!$E$6</f>
        <v>4.1666666666666664E-2</v>
      </c>
      <c r="F8" s="176">
        <f>1/'Custo do Curso'!$E$6</f>
        <v>4.1666666666666664E-2</v>
      </c>
      <c r="G8" s="176">
        <f>1/'Custo do Curso'!$E$6</f>
        <v>4.1666666666666664E-2</v>
      </c>
      <c r="H8" s="176">
        <f>1/'Custo do Curso'!$E$6</f>
        <v>4.1666666666666664E-2</v>
      </c>
      <c r="I8" s="176">
        <f>1/'Custo do Curso'!$E$6</f>
        <v>4.1666666666666664E-2</v>
      </c>
      <c r="J8" s="176">
        <f>1/'Custo do Curso'!$E$6</f>
        <v>4.1666666666666664E-2</v>
      </c>
      <c r="K8" s="176">
        <f>1/'Custo do Curso'!$E$6</f>
        <v>4.1666666666666664E-2</v>
      </c>
      <c r="L8" s="176">
        <f>1/'Custo do Curso'!$E$6</f>
        <v>4.1666666666666664E-2</v>
      </c>
      <c r="M8" s="176">
        <f>1/'Custo do Curso'!$E$6</f>
        <v>4.1666666666666664E-2</v>
      </c>
      <c r="N8" s="176">
        <f>1/'Custo do Curso'!$E$6</f>
        <v>4.1666666666666664E-2</v>
      </c>
      <c r="O8" s="176">
        <f>1/'Custo do Curso'!$E$6</f>
        <v>4.1666666666666664E-2</v>
      </c>
      <c r="P8" s="176">
        <f>1/'Custo do Curso'!$E$6</f>
        <v>4.1666666666666664E-2</v>
      </c>
      <c r="Q8" s="176">
        <f>1/'Custo do Curso'!$E$6</f>
        <v>4.1666666666666664E-2</v>
      </c>
      <c r="R8" s="176">
        <f>1/'Custo do Curso'!$E$6</f>
        <v>4.1666666666666664E-2</v>
      </c>
      <c r="S8" s="176">
        <f>1/'Custo do Curso'!$E$6</f>
        <v>4.1666666666666664E-2</v>
      </c>
      <c r="T8" s="176">
        <f>1/'Custo do Curso'!$E$6</f>
        <v>4.1666666666666664E-2</v>
      </c>
      <c r="U8" s="176">
        <f>1/'Custo do Curso'!$E$6</f>
        <v>4.1666666666666664E-2</v>
      </c>
      <c r="V8" s="176">
        <f>1/'Custo do Curso'!$E$6</f>
        <v>4.1666666666666664E-2</v>
      </c>
      <c r="W8" s="176">
        <f>1/'Custo do Curso'!$E$6</f>
        <v>4.1666666666666664E-2</v>
      </c>
      <c r="X8" s="176">
        <f>1/'Custo do Curso'!$E$6</f>
        <v>4.1666666666666664E-2</v>
      </c>
      <c r="Y8" s="176">
        <f>1/'Custo do Curso'!$E$6</f>
        <v>4.1666666666666664E-2</v>
      </c>
      <c r="Z8" s="176">
        <f>1/'Custo do Curso'!$E$6</f>
        <v>4.1666666666666664E-2</v>
      </c>
      <c r="AA8" s="176">
        <f>1/'Custo do Curso'!$E$6</f>
        <v>4.1666666666666664E-2</v>
      </c>
      <c r="AB8" s="176">
        <f>1/'Custo do Curso'!$E$6</f>
        <v>4.1666666666666664E-2</v>
      </c>
      <c r="AC8" s="50">
        <f t="shared" si="0"/>
        <v>0.99999999999999956</v>
      </c>
    </row>
    <row r="9" spans="1:104" x14ac:dyDescent="0.2">
      <c r="B9" s="270"/>
      <c r="C9" s="271"/>
      <c r="D9" s="51" t="s">
        <v>132</v>
      </c>
      <c r="E9" s="52">
        <f t="shared" ref="E9:AB9" si="2">E8*$C$8</f>
        <v>1071.67</v>
      </c>
      <c r="F9" s="52">
        <f t="shared" si="2"/>
        <v>1071.67</v>
      </c>
      <c r="G9" s="52">
        <f t="shared" si="2"/>
        <v>1071.67</v>
      </c>
      <c r="H9" s="52">
        <f t="shared" si="2"/>
        <v>1071.67</v>
      </c>
      <c r="I9" s="52">
        <f t="shared" si="2"/>
        <v>1071.67</v>
      </c>
      <c r="J9" s="52">
        <f t="shared" si="2"/>
        <v>1071.67</v>
      </c>
      <c r="K9" s="52">
        <f t="shared" si="2"/>
        <v>1071.67</v>
      </c>
      <c r="L9" s="52">
        <f t="shared" si="2"/>
        <v>1071.67</v>
      </c>
      <c r="M9" s="52">
        <f t="shared" si="2"/>
        <v>1071.67</v>
      </c>
      <c r="N9" s="52">
        <f t="shared" si="2"/>
        <v>1071.67</v>
      </c>
      <c r="O9" s="52">
        <f t="shared" si="2"/>
        <v>1071.67</v>
      </c>
      <c r="P9" s="52">
        <f t="shared" si="2"/>
        <v>1071.67</v>
      </c>
      <c r="Q9" s="52">
        <f t="shared" si="2"/>
        <v>1071.67</v>
      </c>
      <c r="R9" s="52">
        <f t="shared" si="2"/>
        <v>1071.67</v>
      </c>
      <c r="S9" s="52">
        <f t="shared" si="2"/>
        <v>1071.67</v>
      </c>
      <c r="T9" s="52">
        <f t="shared" si="2"/>
        <v>1071.67</v>
      </c>
      <c r="U9" s="52">
        <f t="shared" si="2"/>
        <v>1071.67</v>
      </c>
      <c r="V9" s="52">
        <f t="shared" si="2"/>
        <v>1071.67</v>
      </c>
      <c r="W9" s="52">
        <f t="shared" si="2"/>
        <v>1071.67</v>
      </c>
      <c r="X9" s="52">
        <f t="shared" si="2"/>
        <v>1071.67</v>
      </c>
      <c r="Y9" s="52">
        <f t="shared" si="2"/>
        <v>1071.67</v>
      </c>
      <c r="Z9" s="52">
        <f t="shared" si="2"/>
        <v>1071.67</v>
      </c>
      <c r="AA9" s="52">
        <f t="shared" si="2"/>
        <v>1071.67</v>
      </c>
      <c r="AB9" s="52">
        <f t="shared" si="2"/>
        <v>1071.67</v>
      </c>
      <c r="AC9" s="52">
        <f t="shared" si="0"/>
        <v>25720.079999999987</v>
      </c>
    </row>
    <row r="10" spans="1:104" x14ac:dyDescent="0.2">
      <c r="B10" s="272" t="s">
        <v>387</v>
      </c>
      <c r="C10" s="274">
        <f>SUM(Servidores!H51:K51)</f>
        <v>50911.68</v>
      </c>
      <c r="D10" s="49" t="s">
        <v>131</v>
      </c>
      <c r="E10" s="176"/>
      <c r="F10" s="176"/>
      <c r="G10" s="176">
        <f>1/8</f>
        <v>0.125</v>
      </c>
      <c r="H10" s="176"/>
      <c r="I10" s="176"/>
      <c r="J10" s="176">
        <f>1/8</f>
        <v>0.125</v>
      </c>
      <c r="K10" s="176"/>
      <c r="L10" s="176"/>
      <c r="M10" s="176">
        <f>1/8</f>
        <v>0.125</v>
      </c>
      <c r="N10" s="176"/>
      <c r="O10" s="176"/>
      <c r="P10" s="176">
        <f>1/8</f>
        <v>0.125</v>
      </c>
      <c r="Q10" s="176"/>
      <c r="R10" s="176"/>
      <c r="S10" s="176">
        <f>1/8</f>
        <v>0.125</v>
      </c>
      <c r="T10" s="176"/>
      <c r="U10" s="176"/>
      <c r="V10" s="176">
        <f>1/8</f>
        <v>0.125</v>
      </c>
      <c r="W10" s="176"/>
      <c r="X10" s="176"/>
      <c r="Y10" s="176">
        <f>1/8</f>
        <v>0.125</v>
      </c>
      <c r="Z10" s="176"/>
      <c r="AA10" s="176"/>
      <c r="AB10" s="176">
        <f>1/8</f>
        <v>0.125</v>
      </c>
      <c r="AC10" s="50">
        <f t="shared" ref="AC10:AC11" si="3">SUM(E10:AB10)</f>
        <v>1</v>
      </c>
    </row>
    <row r="11" spans="1:104" x14ac:dyDescent="0.2">
      <c r="B11" s="273"/>
      <c r="C11" s="275"/>
      <c r="D11" s="51" t="s">
        <v>132</v>
      </c>
      <c r="E11" s="52">
        <f>E10*$C$10</f>
        <v>0</v>
      </c>
      <c r="F11" s="52">
        <f t="shared" ref="F11:AB11" si="4">F10*$C$10</f>
        <v>0</v>
      </c>
      <c r="G11" s="52">
        <f t="shared" si="4"/>
        <v>6363.96</v>
      </c>
      <c r="H11" s="52">
        <f t="shared" si="4"/>
        <v>0</v>
      </c>
      <c r="I11" s="52">
        <f t="shared" si="4"/>
        <v>0</v>
      </c>
      <c r="J11" s="52">
        <f t="shared" si="4"/>
        <v>6363.96</v>
      </c>
      <c r="K11" s="52">
        <f t="shared" si="4"/>
        <v>0</v>
      </c>
      <c r="L11" s="52">
        <f t="shared" si="4"/>
        <v>0</v>
      </c>
      <c r="M11" s="52">
        <f t="shared" si="4"/>
        <v>6363.96</v>
      </c>
      <c r="N11" s="52">
        <f t="shared" si="4"/>
        <v>0</v>
      </c>
      <c r="O11" s="52">
        <f t="shared" si="4"/>
        <v>0</v>
      </c>
      <c r="P11" s="52">
        <f t="shared" si="4"/>
        <v>6363.96</v>
      </c>
      <c r="Q11" s="52">
        <f t="shared" si="4"/>
        <v>0</v>
      </c>
      <c r="R11" s="52">
        <f t="shared" si="4"/>
        <v>0</v>
      </c>
      <c r="S11" s="52">
        <f t="shared" si="4"/>
        <v>6363.96</v>
      </c>
      <c r="T11" s="52">
        <f t="shared" si="4"/>
        <v>0</v>
      </c>
      <c r="U11" s="52">
        <f t="shared" si="4"/>
        <v>0</v>
      </c>
      <c r="V11" s="52">
        <f t="shared" si="4"/>
        <v>6363.96</v>
      </c>
      <c r="W11" s="52">
        <f t="shared" si="4"/>
        <v>0</v>
      </c>
      <c r="X11" s="52">
        <f t="shared" si="4"/>
        <v>0</v>
      </c>
      <c r="Y11" s="52">
        <f t="shared" si="4"/>
        <v>6363.96</v>
      </c>
      <c r="Z11" s="52">
        <f t="shared" si="4"/>
        <v>0</v>
      </c>
      <c r="AA11" s="52">
        <f t="shared" si="4"/>
        <v>0</v>
      </c>
      <c r="AB11" s="52">
        <f t="shared" si="4"/>
        <v>6363.96</v>
      </c>
      <c r="AC11" s="52">
        <f t="shared" si="3"/>
        <v>50911.68</v>
      </c>
    </row>
    <row r="12" spans="1:104" x14ac:dyDescent="0.2">
      <c r="B12" s="270" t="s">
        <v>134</v>
      </c>
      <c r="C12" s="271">
        <f>Servidores!N51</f>
        <v>25720.080000000002</v>
      </c>
      <c r="D12" s="49" t="s">
        <v>131</v>
      </c>
      <c r="E12" s="176"/>
      <c r="F12" s="176"/>
      <c r="G12" s="176">
        <f>1/8</f>
        <v>0.125</v>
      </c>
      <c r="H12" s="176"/>
      <c r="I12" s="176"/>
      <c r="J12" s="176">
        <f>1/8</f>
        <v>0.125</v>
      </c>
      <c r="K12" s="176"/>
      <c r="L12" s="176"/>
      <c r="M12" s="176">
        <f>1/8</f>
        <v>0.125</v>
      </c>
      <c r="N12" s="176"/>
      <c r="O12" s="176"/>
      <c r="P12" s="176">
        <f>1/8</f>
        <v>0.125</v>
      </c>
      <c r="Q12" s="176"/>
      <c r="R12" s="176"/>
      <c r="S12" s="176">
        <f>1/8</f>
        <v>0.125</v>
      </c>
      <c r="T12" s="176"/>
      <c r="U12" s="176"/>
      <c r="V12" s="176">
        <f>1/8</f>
        <v>0.125</v>
      </c>
      <c r="W12" s="176"/>
      <c r="X12" s="176"/>
      <c r="Y12" s="176">
        <f>1/8</f>
        <v>0.125</v>
      </c>
      <c r="Z12" s="176"/>
      <c r="AA12" s="176"/>
      <c r="AB12" s="176">
        <f>1/8</f>
        <v>0.125</v>
      </c>
      <c r="AC12" s="50">
        <f t="shared" si="0"/>
        <v>1</v>
      </c>
    </row>
    <row r="13" spans="1:104" x14ac:dyDescent="0.2">
      <c r="B13" s="270"/>
      <c r="C13" s="271"/>
      <c r="D13" s="51" t="s">
        <v>132</v>
      </c>
      <c r="E13" s="52">
        <f>E12*$C$12</f>
        <v>0</v>
      </c>
      <c r="F13" s="52">
        <f t="shared" ref="F13:AB13" si="5">F12*$C$12</f>
        <v>0</v>
      </c>
      <c r="G13" s="52">
        <f t="shared" si="5"/>
        <v>3215.01</v>
      </c>
      <c r="H13" s="52">
        <f t="shared" si="5"/>
        <v>0</v>
      </c>
      <c r="I13" s="52">
        <f t="shared" si="5"/>
        <v>0</v>
      </c>
      <c r="J13" s="52">
        <f t="shared" si="5"/>
        <v>3215.01</v>
      </c>
      <c r="K13" s="52">
        <f t="shared" si="5"/>
        <v>0</v>
      </c>
      <c r="L13" s="52">
        <f t="shared" si="5"/>
        <v>0</v>
      </c>
      <c r="M13" s="52">
        <f t="shared" si="5"/>
        <v>3215.01</v>
      </c>
      <c r="N13" s="52">
        <f t="shared" si="5"/>
        <v>0</v>
      </c>
      <c r="O13" s="52">
        <f t="shared" si="5"/>
        <v>0</v>
      </c>
      <c r="P13" s="52">
        <f t="shared" si="5"/>
        <v>3215.01</v>
      </c>
      <c r="Q13" s="52">
        <f t="shared" si="5"/>
        <v>0</v>
      </c>
      <c r="R13" s="52">
        <f t="shared" si="5"/>
        <v>0</v>
      </c>
      <c r="S13" s="52">
        <f t="shared" si="5"/>
        <v>3215.01</v>
      </c>
      <c r="T13" s="52">
        <f t="shared" si="5"/>
        <v>0</v>
      </c>
      <c r="U13" s="52">
        <f t="shared" si="5"/>
        <v>0</v>
      </c>
      <c r="V13" s="52">
        <f t="shared" si="5"/>
        <v>3215.01</v>
      </c>
      <c r="W13" s="52">
        <f t="shared" si="5"/>
        <v>0</v>
      </c>
      <c r="X13" s="52">
        <f t="shared" si="5"/>
        <v>0</v>
      </c>
      <c r="Y13" s="52">
        <f t="shared" si="5"/>
        <v>3215.01</v>
      </c>
      <c r="Z13" s="52">
        <f t="shared" si="5"/>
        <v>0</v>
      </c>
      <c r="AA13" s="52">
        <f t="shared" si="5"/>
        <v>0</v>
      </c>
      <c r="AB13" s="52">
        <f t="shared" si="5"/>
        <v>3215.01</v>
      </c>
      <c r="AC13" s="52">
        <f t="shared" si="0"/>
        <v>25720.080000000002</v>
      </c>
    </row>
    <row r="14" spans="1:104" x14ac:dyDescent="0.2">
      <c r="B14" s="270" t="s">
        <v>135</v>
      </c>
      <c r="C14" s="271">
        <f>Servidores!P51</f>
        <v>37299</v>
      </c>
      <c r="D14" s="49" t="s">
        <v>131</v>
      </c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>
        <f>1/3</f>
        <v>0.33333333333333331</v>
      </c>
      <c r="W14" s="176"/>
      <c r="X14" s="176"/>
      <c r="Y14" s="176">
        <f>1/3</f>
        <v>0.33333333333333331</v>
      </c>
      <c r="Z14" s="176"/>
      <c r="AA14" s="176"/>
      <c r="AB14" s="176">
        <f>1/3</f>
        <v>0.33333333333333331</v>
      </c>
      <c r="AC14" s="50">
        <f t="shared" si="0"/>
        <v>1</v>
      </c>
    </row>
    <row r="15" spans="1:104" x14ac:dyDescent="0.2">
      <c r="B15" s="270"/>
      <c r="C15" s="271"/>
      <c r="D15" s="51" t="s">
        <v>132</v>
      </c>
      <c r="E15" s="52">
        <f t="shared" ref="E15:AB15" si="6">E14*$C$14</f>
        <v>0</v>
      </c>
      <c r="F15" s="52">
        <f t="shared" si="6"/>
        <v>0</v>
      </c>
      <c r="G15" s="52">
        <f t="shared" si="6"/>
        <v>0</v>
      </c>
      <c r="H15" s="52">
        <f t="shared" si="6"/>
        <v>0</v>
      </c>
      <c r="I15" s="52">
        <f t="shared" si="6"/>
        <v>0</v>
      </c>
      <c r="J15" s="52">
        <f t="shared" si="6"/>
        <v>0</v>
      </c>
      <c r="K15" s="52">
        <f t="shared" si="6"/>
        <v>0</v>
      </c>
      <c r="L15" s="52">
        <f t="shared" si="6"/>
        <v>0</v>
      </c>
      <c r="M15" s="52">
        <f t="shared" si="6"/>
        <v>0</v>
      </c>
      <c r="N15" s="52">
        <f t="shared" si="6"/>
        <v>0</v>
      </c>
      <c r="O15" s="52">
        <f t="shared" si="6"/>
        <v>0</v>
      </c>
      <c r="P15" s="52">
        <f t="shared" si="6"/>
        <v>0</v>
      </c>
      <c r="Q15" s="52">
        <f t="shared" si="6"/>
        <v>0</v>
      </c>
      <c r="R15" s="52">
        <f t="shared" si="6"/>
        <v>0</v>
      </c>
      <c r="S15" s="52">
        <f t="shared" si="6"/>
        <v>0</v>
      </c>
      <c r="T15" s="52">
        <f t="shared" si="6"/>
        <v>0</v>
      </c>
      <c r="U15" s="52">
        <f t="shared" si="6"/>
        <v>0</v>
      </c>
      <c r="V15" s="52">
        <f t="shared" si="6"/>
        <v>12433</v>
      </c>
      <c r="W15" s="52">
        <f t="shared" si="6"/>
        <v>0</v>
      </c>
      <c r="X15" s="52">
        <f t="shared" si="6"/>
        <v>0</v>
      </c>
      <c r="Y15" s="52">
        <f t="shared" si="6"/>
        <v>12433</v>
      </c>
      <c r="Z15" s="52">
        <f t="shared" si="6"/>
        <v>0</v>
      </c>
      <c r="AA15" s="52">
        <f t="shared" si="6"/>
        <v>0</v>
      </c>
      <c r="AB15" s="52">
        <f t="shared" si="6"/>
        <v>12433</v>
      </c>
      <c r="AC15" s="52">
        <f t="shared" si="0"/>
        <v>37299</v>
      </c>
    </row>
    <row r="16" spans="1:104" x14ac:dyDescent="0.2">
      <c r="B16" s="270" t="s">
        <v>136</v>
      </c>
      <c r="C16" s="271">
        <f>Servidores!O51</f>
        <v>24866</v>
      </c>
      <c r="D16" s="49" t="s">
        <v>131</v>
      </c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>
        <f>1/3</f>
        <v>0.33333333333333331</v>
      </c>
      <c r="W16" s="176"/>
      <c r="X16" s="176"/>
      <c r="Y16" s="176">
        <f>1/3</f>
        <v>0.33333333333333331</v>
      </c>
      <c r="Z16" s="176"/>
      <c r="AA16" s="176"/>
      <c r="AB16" s="176">
        <f>1/3</f>
        <v>0.33333333333333331</v>
      </c>
      <c r="AC16" s="50">
        <f t="shared" si="0"/>
        <v>1</v>
      </c>
    </row>
    <row r="17" spans="2:29" x14ac:dyDescent="0.2">
      <c r="B17" s="270"/>
      <c r="C17" s="271"/>
      <c r="D17" s="51" t="s">
        <v>132</v>
      </c>
      <c r="E17" s="52">
        <f>E16*$C$16</f>
        <v>0</v>
      </c>
      <c r="F17" s="52">
        <f t="shared" ref="F17:AB17" si="7">F16*$C$16</f>
        <v>0</v>
      </c>
      <c r="G17" s="52">
        <f t="shared" si="7"/>
        <v>0</v>
      </c>
      <c r="H17" s="52">
        <f t="shared" si="7"/>
        <v>0</v>
      </c>
      <c r="I17" s="52">
        <f t="shared" si="7"/>
        <v>0</v>
      </c>
      <c r="J17" s="52">
        <f t="shared" si="7"/>
        <v>0</v>
      </c>
      <c r="K17" s="52">
        <f t="shared" si="7"/>
        <v>0</v>
      </c>
      <c r="L17" s="52">
        <f t="shared" si="7"/>
        <v>0</v>
      </c>
      <c r="M17" s="52">
        <f t="shared" si="7"/>
        <v>0</v>
      </c>
      <c r="N17" s="52">
        <f t="shared" si="7"/>
        <v>0</v>
      </c>
      <c r="O17" s="52">
        <f t="shared" si="7"/>
        <v>0</v>
      </c>
      <c r="P17" s="52">
        <f t="shared" si="7"/>
        <v>0</v>
      </c>
      <c r="Q17" s="52">
        <f t="shared" si="7"/>
        <v>0</v>
      </c>
      <c r="R17" s="52">
        <f t="shared" si="7"/>
        <v>0</v>
      </c>
      <c r="S17" s="52">
        <f t="shared" si="7"/>
        <v>0</v>
      </c>
      <c r="T17" s="52">
        <f t="shared" si="7"/>
        <v>0</v>
      </c>
      <c r="U17" s="52">
        <f t="shared" si="7"/>
        <v>0</v>
      </c>
      <c r="V17" s="52">
        <f t="shared" si="7"/>
        <v>8288.6666666666661</v>
      </c>
      <c r="W17" s="52">
        <f t="shared" si="7"/>
        <v>0</v>
      </c>
      <c r="X17" s="52">
        <f t="shared" si="7"/>
        <v>0</v>
      </c>
      <c r="Y17" s="52">
        <f t="shared" si="7"/>
        <v>8288.6666666666661</v>
      </c>
      <c r="Z17" s="52">
        <f t="shared" si="7"/>
        <v>0</v>
      </c>
      <c r="AA17" s="52">
        <f t="shared" si="7"/>
        <v>0</v>
      </c>
      <c r="AB17" s="52">
        <f t="shared" si="7"/>
        <v>8288.6666666666661</v>
      </c>
      <c r="AC17" s="52">
        <f t="shared" ref="AC17" si="8">SUM(E17:AB17)</f>
        <v>24866</v>
      </c>
    </row>
    <row r="18" spans="2:29" x14ac:dyDescent="0.2">
      <c r="B18" s="270" t="s">
        <v>77</v>
      </c>
      <c r="C18" s="271">
        <f>Servidores!Q51</f>
        <v>25720.080000000002</v>
      </c>
      <c r="D18" s="177" t="s">
        <v>131</v>
      </c>
      <c r="E18" s="176">
        <f>1/'Custo do Curso'!$E$6</f>
        <v>4.1666666666666664E-2</v>
      </c>
      <c r="F18" s="176">
        <f>1/'Custo do Curso'!$E$6</f>
        <v>4.1666666666666664E-2</v>
      </c>
      <c r="G18" s="176">
        <f>1/'Custo do Curso'!$E$6</f>
        <v>4.1666666666666664E-2</v>
      </c>
      <c r="H18" s="176">
        <f>1/'Custo do Curso'!$E$6</f>
        <v>4.1666666666666664E-2</v>
      </c>
      <c r="I18" s="176">
        <f>1/'Custo do Curso'!$E$6</f>
        <v>4.1666666666666664E-2</v>
      </c>
      <c r="J18" s="176">
        <f>1/'Custo do Curso'!$E$6</f>
        <v>4.1666666666666664E-2</v>
      </c>
      <c r="K18" s="176">
        <f>1/'Custo do Curso'!$E$6</f>
        <v>4.1666666666666664E-2</v>
      </c>
      <c r="L18" s="176">
        <f>1/'Custo do Curso'!$E$6</f>
        <v>4.1666666666666664E-2</v>
      </c>
      <c r="M18" s="176">
        <f>1/'Custo do Curso'!$E$6</f>
        <v>4.1666666666666664E-2</v>
      </c>
      <c r="N18" s="176">
        <f>1/'Custo do Curso'!$E$6</f>
        <v>4.1666666666666664E-2</v>
      </c>
      <c r="O18" s="176">
        <f>1/'Custo do Curso'!$E$6</f>
        <v>4.1666666666666664E-2</v>
      </c>
      <c r="P18" s="176">
        <f>1/'Custo do Curso'!$E$6</f>
        <v>4.1666666666666664E-2</v>
      </c>
      <c r="Q18" s="176">
        <f>1/'Custo do Curso'!$E$6</f>
        <v>4.1666666666666664E-2</v>
      </c>
      <c r="R18" s="176">
        <f>1/'Custo do Curso'!$E$6</f>
        <v>4.1666666666666664E-2</v>
      </c>
      <c r="S18" s="176">
        <f>1/'Custo do Curso'!$E$6</f>
        <v>4.1666666666666664E-2</v>
      </c>
      <c r="T18" s="176">
        <f>1/'Custo do Curso'!$E$6</f>
        <v>4.1666666666666664E-2</v>
      </c>
      <c r="U18" s="176">
        <f>1/'Custo do Curso'!$E$6</f>
        <v>4.1666666666666664E-2</v>
      </c>
      <c r="V18" s="176">
        <f>1/'Custo do Curso'!$E$6</f>
        <v>4.1666666666666664E-2</v>
      </c>
      <c r="W18" s="176">
        <f>1/'Custo do Curso'!$E$6</f>
        <v>4.1666666666666664E-2</v>
      </c>
      <c r="X18" s="176">
        <f>1/'Custo do Curso'!$E$6</f>
        <v>4.1666666666666664E-2</v>
      </c>
      <c r="Y18" s="176">
        <f>1/'Custo do Curso'!$E$6</f>
        <v>4.1666666666666664E-2</v>
      </c>
      <c r="Z18" s="176">
        <f>1/'Custo do Curso'!$E$6</f>
        <v>4.1666666666666664E-2</v>
      </c>
      <c r="AA18" s="176">
        <f>1/'Custo do Curso'!$E$6</f>
        <v>4.1666666666666664E-2</v>
      </c>
      <c r="AB18" s="176">
        <f>1/'Custo do Curso'!$E$6</f>
        <v>4.1666666666666664E-2</v>
      </c>
      <c r="AC18" s="50">
        <f t="shared" si="0"/>
        <v>0.99999999999999956</v>
      </c>
    </row>
    <row r="19" spans="2:29" x14ac:dyDescent="0.2">
      <c r="B19" s="270"/>
      <c r="C19" s="271"/>
      <c r="D19" s="51" t="s">
        <v>132</v>
      </c>
      <c r="E19" s="52">
        <f>E18*$C$18</f>
        <v>1071.67</v>
      </c>
      <c r="F19" s="52">
        <f t="shared" ref="F19:AB19" si="9">F18*$C$18</f>
        <v>1071.67</v>
      </c>
      <c r="G19" s="52">
        <f t="shared" si="9"/>
        <v>1071.67</v>
      </c>
      <c r="H19" s="52">
        <f t="shared" si="9"/>
        <v>1071.67</v>
      </c>
      <c r="I19" s="52">
        <f t="shared" si="9"/>
        <v>1071.67</v>
      </c>
      <c r="J19" s="52">
        <f t="shared" si="9"/>
        <v>1071.67</v>
      </c>
      <c r="K19" s="52">
        <f t="shared" si="9"/>
        <v>1071.67</v>
      </c>
      <c r="L19" s="52">
        <f t="shared" si="9"/>
        <v>1071.67</v>
      </c>
      <c r="M19" s="52">
        <f t="shared" si="9"/>
        <v>1071.67</v>
      </c>
      <c r="N19" s="52">
        <f t="shared" si="9"/>
        <v>1071.67</v>
      </c>
      <c r="O19" s="52">
        <f t="shared" si="9"/>
        <v>1071.67</v>
      </c>
      <c r="P19" s="52">
        <f t="shared" si="9"/>
        <v>1071.67</v>
      </c>
      <c r="Q19" s="52">
        <f t="shared" si="9"/>
        <v>1071.67</v>
      </c>
      <c r="R19" s="52">
        <f t="shared" si="9"/>
        <v>1071.67</v>
      </c>
      <c r="S19" s="52">
        <f t="shared" si="9"/>
        <v>1071.67</v>
      </c>
      <c r="T19" s="52">
        <f t="shared" si="9"/>
        <v>1071.67</v>
      </c>
      <c r="U19" s="52">
        <f t="shared" si="9"/>
        <v>1071.67</v>
      </c>
      <c r="V19" s="52">
        <f t="shared" si="9"/>
        <v>1071.67</v>
      </c>
      <c r="W19" s="52">
        <f t="shared" si="9"/>
        <v>1071.67</v>
      </c>
      <c r="X19" s="52">
        <f t="shared" si="9"/>
        <v>1071.67</v>
      </c>
      <c r="Y19" s="52">
        <f t="shared" si="9"/>
        <v>1071.67</v>
      </c>
      <c r="Z19" s="52">
        <f t="shared" si="9"/>
        <v>1071.67</v>
      </c>
      <c r="AA19" s="52">
        <f t="shared" si="9"/>
        <v>1071.67</v>
      </c>
      <c r="AB19" s="52">
        <f t="shared" si="9"/>
        <v>1071.67</v>
      </c>
      <c r="AC19" s="52">
        <f t="shared" ref="AC19" si="10">SUM(E19:AB19)</f>
        <v>25720.079999999987</v>
      </c>
    </row>
    <row r="20" spans="2:29" x14ac:dyDescent="0.2">
      <c r="B20" s="276" t="s">
        <v>389</v>
      </c>
      <c r="C20" s="271">
        <f>Servidores!R51</f>
        <v>21206.400000000001</v>
      </c>
      <c r="D20" s="177" t="s">
        <v>131</v>
      </c>
      <c r="E20" s="176">
        <f>1/3</f>
        <v>0.33333333333333331</v>
      </c>
      <c r="F20" s="176"/>
      <c r="G20" s="176"/>
      <c r="H20" s="176">
        <f>1/3</f>
        <v>0.33333333333333331</v>
      </c>
      <c r="I20" s="176"/>
      <c r="J20" s="176"/>
      <c r="K20" s="176">
        <f>1/3</f>
        <v>0.33333333333333331</v>
      </c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50">
        <f t="shared" si="0"/>
        <v>1</v>
      </c>
    </row>
    <row r="21" spans="2:29" x14ac:dyDescent="0.2">
      <c r="B21" s="270"/>
      <c r="C21" s="271"/>
      <c r="D21" s="51" t="s">
        <v>132</v>
      </c>
      <c r="E21" s="52">
        <f>E20*$C$20</f>
        <v>7068.8</v>
      </c>
      <c r="F21" s="52">
        <f t="shared" ref="F21:AB21" si="11">F20*$C$20</f>
        <v>0</v>
      </c>
      <c r="G21" s="52">
        <f t="shared" si="11"/>
        <v>0</v>
      </c>
      <c r="H21" s="52">
        <f t="shared" si="11"/>
        <v>7068.8</v>
      </c>
      <c r="I21" s="52">
        <f t="shared" si="11"/>
        <v>0</v>
      </c>
      <c r="J21" s="52">
        <f t="shared" si="11"/>
        <v>0</v>
      </c>
      <c r="K21" s="52">
        <f t="shared" si="11"/>
        <v>7068.8</v>
      </c>
      <c r="L21" s="52">
        <f t="shared" si="11"/>
        <v>0</v>
      </c>
      <c r="M21" s="52">
        <f t="shared" si="11"/>
        <v>0</v>
      </c>
      <c r="N21" s="52">
        <f t="shared" si="11"/>
        <v>0</v>
      </c>
      <c r="O21" s="52">
        <f t="shared" si="11"/>
        <v>0</v>
      </c>
      <c r="P21" s="52">
        <f t="shared" si="11"/>
        <v>0</v>
      </c>
      <c r="Q21" s="52">
        <f t="shared" si="11"/>
        <v>0</v>
      </c>
      <c r="R21" s="52">
        <f t="shared" si="11"/>
        <v>0</v>
      </c>
      <c r="S21" s="52">
        <f t="shared" si="11"/>
        <v>0</v>
      </c>
      <c r="T21" s="52">
        <f t="shared" si="11"/>
        <v>0</v>
      </c>
      <c r="U21" s="52">
        <f t="shared" si="11"/>
        <v>0</v>
      </c>
      <c r="V21" s="52">
        <f t="shared" si="11"/>
        <v>0</v>
      </c>
      <c r="W21" s="52">
        <f t="shared" si="11"/>
        <v>0</v>
      </c>
      <c r="X21" s="52">
        <f t="shared" si="11"/>
        <v>0</v>
      </c>
      <c r="Y21" s="52">
        <f t="shared" si="11"/>
        <v>0</v>
      </c>
      <c r="Z21" s="52">
        <f t="shared" si="11"/>
        <v>0</v>
      </c>
      <c r="AA21" s="52">
        <f t="shared" si="11"/>
        <v>0</v>
      </c>
      <c r="AB21" s="52">
        <f t="shared" si="11"/>
        <v>0</v>
      </c>
      <c r="AC21" s="52">
        <f t="shared" ref="AC21:AC22" si="12">SUM(E21:AB21)</f>
        <v>21206.400000000001</v>
      </c>
    </row>
    <row r="22" spans="2:29" x14ac:dyDescent="0.2">
      <c r="B22" s="270" t="s">
        <v>137</v>
      </c>
      <c r="C22" s="271">
        <f>Estagiários!J13</f>
        <v>28244.04</v>
      </c>
      <c r="D22" s="49" t="s">
        <v>131</v>
      </c>
      <c r="E22" s="176">
        <f>1/'Custo do Curso'!$E$6</f>
        <v>4.1666666666666664E-2</v>
      </c>
      <c r="F22" s="176">
        <f>1/'Custo do Curso'!$E$6</f>
        <v>4.1666666666666664E-2</v>
      </c>
      <c r="G22" s="176">
        <f>1/'Custo do Curso'!$E$6</f>
        <v>4.1666666666666664E-2</v>
      </c>
      <c r="H22" s="176">
        <f>1/'Custo do Curso'!$E$6</f>
        <v>4.1666666666666664E-2</v>
      </c>
      <c r="I22" s="176">
        <f>1/'Custo do Curso'!$E$6</f>
        <v>4.1666666666666664E-2</v>
      </c>
      <c r="J22" s="176">
        <f>1/'Custo do Curso'!$E$6</f>
        <v>4.1666666666666664E-2</v>
      </c>
      <c r="K22" s="176">
        <f>1/'Custo do Curso'!$E$6</f>
        <v>4.1666666666666664E-2</v>
      </c>
      <c r="L22" s="176">
        <f>1/'Custo do Curso'!$E$6</f>
        <v>4.1666666666666664E-2</v>
      </c>
      <c r="M22" s="176">
        <f>1/'Custo do Curso'!$E$6</f>
        <v>4.1666666666666664E-2</v>
      </c>
      <c r="N22" s="176">
        <f>1/'Custo do Curso'!$E$6</f>
        <v>4.1666666666666664E-2</v>
      </c>
      <c r="O22" s="176">
        <f>1/'Custo do Curso'!$E$6</f>
        <v>4.1666666666666664E-2</v>
      </c>
      <c r="P22" s="176">
        <f>1/'Custo do Curso'!$E$6</f>
        <v>4.1666666666666664E-2</v>
      </c>
      <c r="Q22" s="176">
        <f>1/'Custo do Curso'!$E$6</f>
        <v>4.1666666666666664E-2</v>
      </c>
      <c r="R22" s="176">
        <f>1/'Custo do Curso'!$E$6</f>
        <v>4.1666666666666664E-2</v>
      </c>
      <c r="S22" s="176">
        <f>1/'Custo do Curso'!$E$6</f>
        <v>4.1666666666666664E-2</v>
      </c>
      <c r="T22" s="176">
        <f>1/'Custo do Curso'!$E$6</f>
        <v>4.1666666666666664E-2</v>
      </c>
      <c r="U22" s="176">
        <f>1/'Custo do Curso'!$E$6</f>
        <v>4.1666666666666664E-2</v>
      </c>
      <c r="V22" s="176">
        <f>1/'Custo do Curso'!$E$6</f>
        <v>4.1666666666666664E-2</v>
      </c>
      <c r="W22" s="176">
        <f>1/'Custo do Curso'!$E$6</f>
        <v>4.1666666666666664E-2</v>
      </c>
      <c r="X22" s="176">
        <f>1/'Custo do Curso'!$E$6</f>
        <v>4.1666666666666664E-2</v>
      </c>
      <c r="Y22" s="176">
        <f>1/'Custo do Curso'!$E$6</f>
        <v>4.1666666666666664E-2</v>
      </c>
      <c r="Z22" s="176">
        <f>1/'Custo do Curso'!$E$6</f>
        <v>4.1666666666666664E-2</v>
      </c>
      <c r="AA22" s="176">
        <f>1/'Custo do Curso'!$E$6</f>
        <v>4.1666666666666664E-2</v>
      </c>
      <c r="AB22" s="176">
        <f>1/'Custo do Curso'!$E$6</f>
        <v>4.1666666666666664E-2</v>
      </c>
      <c r="AC22" s="50">
        <f t="shared" si="12"/>
        <v>0.99999999999999956</v>
      </c>
    </row>
    <row r="23" spans="2:29" x14ac:dyDescent="0.2">
      <c r="B23" s="270"/>
      <c r="C23" s="271"/>
      <c r="D23" s="51" t="s">
        <v>132</v>
      </c>
      <c r="E23" s="52">
        <f>E22*$C$22</f>
        <v>1176.835</v>
      </c>
      <c r="F23" s="52">
        <f t="shared" ref="F23:AB23" si="13">F22*$C$22</f>
        <v>1176.835</v>
      </c>
      <c r="G23" s="52">
        <f t="shared" si="13"/>
        <v>1176.835</v>
      </c>
      <c r="H23" s="52">
        <f t="shared" si="13"/>
        <v>1176.835</v>
      </c>
      <c r="I23" s="52">
        <f t="shared" si="13"/>
        <v>1176.835</v>
      </c>
      <c r="J23" s="52">
        <f t="shared" si="13"/>
        <v>1176.835</v>
      </c>
      <c r="K23" s="52">
        <f t="shared" si="13"/>
        <v>1176.835</v>
      </c>
      <c r="L23" s="52">
        <f t="shared" si="13"/>
        <v>1176.835</v>
      </c>
      <c r="M23" s="52">
        <f t="shared" si="13"/>
        <v>1176.835</v>
      </c>
      <c r="N23" s="52">
        <f t="shared" si="13"/>
        <v>1176.835</v>
      </c>
      <c r="O23" s="52">
        <f t="shared" si="13"/>
        <v>1176.835</v>
      </c>
      <c r="P23" s="52">
        <f t="shared" si="13"/>
        <v>1176.835</v>
      </c>
      <c r="Q23" s="52">
        <f t="shared" si="13"/>
        <v>1176.835</v>
      </c>
      <c r="R23" s="52">
        <f t="shared" si="13"/>
        <v>1176.835</v>
      </c>
      <c r="S23" s="52">
        <f t="shared" si="13"/>
        <v>1176.835</v>
      </c>
      <c r="T23" s="52">
        <f t="shared" si="13"/>
        <v>1176.835</v>
      </c>
      <c r="U23" s="52">
        <f t="shared" si="13"/>
        <v>1176.835</v>
      </c>
      <c r="V23" s="52">
        <f t="shared" si="13"/>
        <v>1176.835</v>
      </c>
      <c r="W23" s="52">
        <f t="shared" si="13"/>
        <v>1176.835</v>
      </c>
      <c r="X23" s="52">
        <f t="shared" si="13"/>
        <v>1176.835</v>
      </c>
      <c r="Y23" s="52">
        <f t="shared" si="13"/>
        <v>1176.835</v>
      </c>
      <c r="Z23" s="52">
        <f t="shared" si="13"/>
        <v>1176.835</v>
      </c>
      <c r="AA23" s="52">
        <f t="shared" si="13"/>
        <v>1176.835</v>
      </c>
      <c r="AB23" s="52">
        <f t="shared" si="13"/>
        <v>1176.835</v>
      </c>
      <c r="AC23" s="52">
        <f t="shared" ref="AC23:AC26" si="14">SUM(E23:AB23)</f>
        <v>28244.039999999986</v>
      </c>
    </row>
    <row r="24" spans="2:29" x14ac:dyDescent="0.2">
      <c r="B24" s="272" t="s">
        <v>393</v>
      </c>
      <c r="C24" s="274">
        <f>'Custo do Curso'!H27</f>
        <v>43200</v>
      </c>
      <c r="D24" s="49" t="s">
        <v>131</v>
      </c>
      <c r="E24" s="176"/>
      <c r="F24" s="176"/>
      <c r="G24" s="176">
        <f>1/8</f>
        <v>0.125</v>
      </c>
      <c r="H24" s="176"/>
      <c r="I24" s="176"/>
      <c r="J24" s="176">
        <f>1/8</f>
        <v>0.125</v>
      </c>
      <c r="K24" s="176"/>
      <c r="L24" s="176"/>
      <c r="M24" s="176">
        <f>1/8</f>
        <v>0.125</v>
      </c>
      <c r="N24" s="176"/>
      <c r="O24" s="176"/>
      <c r="P24" s="176">
        <f>1/8</f>
        <v>0.125</v>
      </c>
      <c r="Q24" s="176"/>
      <c r="R24" s="176"/>
      <c r="S24" s="176">
        <f>1/8</f>
        <v>0.125</v>
      </c>
      <c r="T24" s="176"/>
      <c r="U24" s="176"/>
      <c r="V24" s="176">
        <f>1/8</f>
        <v>0.125</v>
      </c>
      <c r="W24" s="176"/>
      <c r="X24" s="176"/>
      <c r="Y24" s="176">
        <f>1/8</f>
        <v>0.125</v>
      </c>
      <c r="Z24" s="176"/>
      <c r="AA24" s="176"/>
      <c r="AB24" s="176">
        <f>1/8</f>
        <v>0.125</v>
      </c>
      <c r="AC24" s="50">
        <f t="shared" ref="AC24:AC25" si="15">SUM(E24:AB24)</f>
        <v>1</v>
      </c>
    </row>
    <row r="25" spans="2:29" x14ac:dyDescent="0.2">
      <c r="B25" s="273"/>
      <c r="C25" s="275"/>
      <c r="D25" s="51" t="s">
        <v>132</v>
      </c>
      <c r="E25" s="52">
        <f>E24*$C$24</f>
        <v>0</v>
      </c>
      <c r="F25" s="52">
        <f t="shared" ref="F25:AB25" si="16">F24*$C$24</f>
        <v>0</v>
      </c>
      <c r="G25" s="52">
        <f t="shared" si="16"/>
        <v>5400</v>
      </c>
      <c r="H25" s="52">
        <f t="shared" si="16"/>
        <v>0</v>
      </c>
      <c r="I25" s="52">
        <f t="shared" si="16"/>
        <v>0</v>
      </c>
      <c r="J25" s="52">
        <f t="shared" si="16"/>
        <v>5400</v>
      </c>
      <c r="K25" s="52">
        <f t="shared" si="16"/>
        <v>0</v>
      </c>
      <c r="L25" s="52">
        <f t="shared" si="16"/>
        <v>0</v>
      </c>
      <c r="M25" s="52">
        <f t="shared" si="16"/>
        <v>5400</v>
      </c>
      <c r="N25" s="52">
        <f t="shared" si="16"/>
        <v>0</v>
      </c>
      <c r="O25" s="52">
        <f t="shared" si="16"/>
        <v>0</v>
      </c>
      <c r="P25" s="52">
        <f t="shared" si="16"/>
        <v>5400</v>
      </c>
      <c r="Q25" s="52">
        <f t="shared" si="16"/>
        <v>0</v>
      </c>
      <c r="R25" s="52">
        <f t="shared" si="16"/>
        <v>0</v>
      </c>
      <c r="S25" s="52">
        <f t="shared" si="16"/>
        <v>5400</v>
      </c>
      <c r="T25" s="52">
        <f t="shared" si="16"/>
        <v>0</v>
      </c>
      <c r="U25" s="52">
        <f t="shared" si="16"/>
        <v>0</v>
      </c>
      <c r="V25" s="52">
        <f t="shared" si="16"/>
        <v>5400</v>
      </c>
      <c r="W25" s="52">
        <f t="shared" si="16"/>
        <v>0</v>
      </c>
      <c r="X25" s="52">
        <f t="shared" si="16"/>
        <v>0</v>
      </c>
      <c r="Y25" s="52">
        <f t="shared" si="16"/>
        <v>5400</v>
      </c>
      <c r="Z25" s="52">
        <f t="shared" si="16"/>
        <v>0</v>
      </c>
      <c r="AA25" s="52">
        <f t="shared" si="16"/>
        <v>0</v>
      </c>
      <c r="AB25" s="52">
        <f t="shared" si="16"/>
        <v>5400</v>
      </c>
      <c r="AC25" s="52">
        <f t="shared" si="15"/>
        <v>43200</v>
      </c>
    </row>
    <row r="26" spans="2:29" x14ac:dyDescent="0.2">
      <c r="B26" s="272" t="s">
        <v>138</v>
      </c>
      <c r="C26" s="274">
        <f>'Serviços - PF'!E26</f>
        <v>23871.360000000001</v>
      </c>
      <c r="D26" s="177" t="s">
        <v>131</v>
      </c>
      <c r="E26" s="176"/>
      <c r="F26" s="176"/>
      <c r="G26" s="176">
        <f>1/8</f>
        <v>0.125</v>
      </c>
      <c r="H26" s="176"/>
      <c r="I26" s="176"/>
      <c r="J26" s="176">
        <f>1/8</f>
        <v>0.125</v>
      </c>
      <c r="K26" s="176"/>
      <c r="L26" s="176"/>
      <c r="M26" s="176">
        <f>1/8</f>
        <v>0.125</v>
      </c>
      <c r="N26" s="176"/>
      <c r="O26" s="176"/>
      <c r="P26" s="176">
        <f>1/8</f>
        <v>0.125</v>
      </c>
      <c r="Q26" s="176"/>
      <c r="R26" s="176"/>
      <c r="S26" s="176">
        <f>1/8</f>
        <v>0.125</v>
      </c>
      <c r="T26" s="176"/>
      <c r="U26" s="176"/>
      <c r="V26" s="176">
        <f>1/8</f>
        <v>0.125</v>
      </c>
      <c r="W26" s="176"/>
      <c r="X26" s="176"/>
      <c r="Y26" s="176">
        <f>1/8</f>
        <v>0.125</v>
      </c>
      <c r="Z26" s="176"/>
      <c r="AA26" s="176"/>
      <c r="AB26" s="176">
        <f>1/8</f>
        <v>0.125</v>
      </c>
      <c r="AC26" s="50">
        <f t="shared" si="14"/>
        <v>1</v>
      </c>
    </row>
    <row r="27" spans="2:29" x14ac:dyDescent="0.2">
      <c r="B27" s="273"/>
      <c r="C27" s="275"/>
      <c r="D27" s="51" t="s">
        <v>132</v>
      </c>
      <c r="E27" s="52">
        <f>E26*$C$26</f>
        <v>0</v>
      </c>
      <c r="F27" s="52">
        <f t="shared" ref="F27:AB27" si="17">F26*$C$26</f>
        <v>0</v>
      </c>
      <c r="G27" s="52">
        <f t="shared" si="17"/>
        <v>2983.92</v>
      </c>
      <c r="H27" s="52">
        <f t="shared" si="17"/>
        <v>0</v>
      </c>
      <c r="I27" s="52">
        <f t="shared" si="17"/>
        <v>0</v>
      </c>
      <c r="J27" s="52">
        <f t="shared" si="17"/>
        <v>2983.92</v>
      </c>
      <c r="K27" s="52">
        <f t="shared" si="17"/>
        <v>0</v>
      </c>
      <c r="L27" s="52">
        <f t="shared" si="17"/>
        <v>0</v>
      </c>
      <c r="M27" s="52">
        <f t="shared" si="17"/>
        <v>2983.92</v>
      </c>
      <c r="N27" s="52">
        <f t="shared" si="17"/>
        <v>0</v>
      </c>
      <c r="O27" s="52">
        <f t="shared" si="17"/>
        <v>0</v>
      </c>
      <c r="P27" s="52">
        <f t="shared" si="17"/>
        <v>2983.92</v>
      </c>
      <c r="Q27" s="52">
        <f t="shared" si="17"/>
        <v>0</v>
      </c>
      <c r="R27" s="52">
        <f t="shared" si="17"/>
        <v>0</v>
      </c>
      <c r="S27" s="52">
        <f t="shared" si="17"/>
        <v>2983.92</v>
      </c>
      <c r="T27" s="52">
        <f t="shared" si="17"/>
        <v>0</v>
      </c>
      <c r="U27" s="52">
        <f t="shared" si="17"/>
        <v>0</v>
      </c>
      <c r="V27" s="52">
        <f t="shared" si="17"/>
        <v>2983.92</v>
      </c>
      <c r="W27" s="52">
        <f t="shared" si="17"/>
        <v>0</v>
      </c>
      <c r="X27" s="52">
        <f t="shared" si="17"/>
        <v>0</v>
      </c>
      <c r="Y27" s="52">
        <f t="shared" si="17"/>
        <v>2983.92</v>
      </c>
      <c r="Z27" s="52">
        <f t="shared" si="17"/>
        <v>0</v>
      </c>
      <c r="AA27" s="52">
        <f t="shared" si="17"/>
        <v>0</v>
      </c>
      <c r="AB27" s="52">
        <f t="shared" si="17"/>
        <v>2983.92</v>
      </c>
      <c r="AC27" s="52">
        <f t="shared" ref="AC27:AC28" si="18">SUM(E27:AB27)</f>
        <v>23871.360000000001</v>
      </c>
    </row>
    <row r="28" spans="2:29" x14ac:dyDescent="0.2">
      <c r="B28" s="270" t="s">
        <v>139</v>
      </c>
      <c r="C28" s="271">
        <f>'Serviços - PF'!E51</f>
        <v>46669.200000000004</v>
      </c>
      <c r="D28" s="49" t="s">
        <v>131</v>
      </c>
      <c r="E28" s="176"/>
      <c r="F28" s="176"/>
      <c r="G28" s="176">
        <f>1/8</f>
        <v>0.125</v>
      </c>
      <c r="H28" s="176"/>
      <c r="I28" s="176"/>
      <c r="J28" s="176">
        <f>1/8</f>
        <v>0.125</v>
      </c>
      <c r="K28" s="176"/>
      <c r="L28" s="176"/>
      <c r="M28" s="176">
        <f>1/8</f>
        <v>0.125</v>
      </c>
      <c r="N28" s="176"/>
      <c r="O28" s="176"/>
      <c r="P28" s="176">
        <f>1/8</f>
        <v>0.125</v>
      </c>
      <c r="Q28" s="176"/>
      <c r="R28" s="176"/>
      <c r="S28" s="176">
        <f>1/8</f>
        <v>0.125</v>
      </c>
      <c r="T28" s="176"/>
      <c r="U28" s="176"/>
      <c r="V28" s="176">
        <f>1/8</f>
        <v>0.125</v>
      </c>
      <c r="W28" s="176"/>
      <c r="X28" s="176"/>
      <c r="Y28" s="176">
        <f>1/8</f>
        <v>0.125</v>
      </c>
      <c r="Z28" s="176"/>
      <c r="AA28" s="176"/>
      <c r="AB28" s="176">
        <f>1/8</f>
        <v>0.125</v>
      </c>
      <c r="AC28" s="50">
        <f t="shared" si="18"/>
        <v>1</v>
      </c>
    </row>
    <row r="29" spans="2:29" x14ac:dyDescent="0.2">
      <c r="B29" s="270"/>
      <c r="C29" s="271"/>
      <c r="D29" s="51" t="s">
        <v>132</v>
      </c>
      <c r="E29" s="52">
        <f>E28*$C$28</f>
        <v>0</v>
      </c>
      <c r="F29" s="52">
        <f t="shared" ref="F29:AB29" si="19">F28*$C$28</f>
        <v>0</v>
      </c>
      <c r="G29" s="52">
        <f t="shared" si="19"/>
        <v>5833.6500000000005</v>
      </c>
      <c r="H29" s="52">
        <f t="shared" si="19"/>
        <v>0</v>
      </c>
      <c r="I29" s="52">
        <f t="shared" si="19"/>
        <v>0</v>
      </c>
      <c r="J29" s="52">
        <f t="shared" si="19"/>
        <v>5833.6500000000005</v>
      </c>
      <c r="K29" s="52">
        <f t="shared" si="19"/>
        <v>0</v>
      </c>
      <c r="L29" s="52">
        <f t="shared" si="19"/>
        <v>0</v>
      </c>
      <c r="M29" s="52">
        <f t="shared" si="19"/>
        <v>5833.6500000000005</v>
      </c>
      <c r="N29" s="52">
        <f t="shared" si="19"/>
        <v>0</v>
      </c>
      <c r="O29" s="52">
        <f t="shared" si="19"/>
        <v>0</v>
      </c>
      <c r="P29" s="52">
        <f t="shared" si="19"/>
        <v>5833.6500000000005</v>
      </c>
      <c r="Q29" s="52">
        <f t="shared" si="19"/>
        <v>0</v>
      </c>
      <c r="R29" s="52">
        <f t="shared" si="19"/>
        <v>0</v>
      </c>
      <c r="S29" s="52">
        <f t="shared" si="19"/>
        <v>5833.6500000000005</v>
      </c>
      <c r="T29" s="52">
        <f t="shared" si="19"/>
        <v>0</v>
      </c>
      <c r="U29" s="52">
        <f t="shared" si="19"/>
        <v>0</v>
      </c>
      <c r="V29" s="52">
        <f t="shared" si="19"/>
        <v>5833.6500000000005</v>
      </c>
      <c r="W29" s="52">
        <f t="shared" si="19"/>
        <v>0</v>
      </c>
      <c r="X29" s="52">
        <f t="shared" si="19"/>
        <v>0</v>
      </c>
      <c r="Y29" s="52">
        <f t="shared" si="19"/>
        <v>5833.6500000000005</v>
      </c>
      <c r="Z29" s="52">
        <f t="shared" si="19"/>
        <v>0</v>
      </c>
      <c r="AA29" s="52">
        <f t="shared" si="19"/>
        <v>0</v>
      </c>
      <c r="AB29" s="52">
        <f t="shared" si="19"/>
        <v>5833.6500000000005</v>
      </c>
      <c r="AC29" s="52">
        <f t="shared" ref="AC29:AC30" si="20">SUM(E29:AB29)</f>
        <v>46669.200000000004</v>
      </c>
    </row>
    <row r="30" spans="2:29" x14ac:dyDescent="0.2">
      <c r="B30" s="270" t="s">
        <v>140</v>
      </c>
      <c r="C30" s="271">
        <f>'Material de Consumo'!C21</f>
        <v>24793.510000000002</v>
      </c>
      <c r="D30" s="49" t="s">
        <v>131</v>
      </c>
      <c r="E30" s="176">
        <f>1/3</f>
        <v>0.33333333333333331</v>
      </c>
      <c r="F30" s="176"/>
      <c r="G30" s="176"/>
      <c r="H30" s="176">
        <f>1/3</f>
        <v>0.33333333333333331</v>
      </c>
      <c r="I30" s="176"/>
      <c r="J30" s="176"/>
      <c r="K30" s="176">
        <f>1/3</f>
        <v>0.33333333333333331</v>
      </c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50">
        <f t="shared" si="20"/>
        <v>1</v>
      </c>
    </row>
    <row r="31" spans="2:29" x14ac:dyDescent="0.2">
      <c r="B31" s="270"/>
      <c r="C31" s="271"/>
      <c r="D31" s="51" t="s">
        <v>132</v>
      </c>
      <c r="E31" s="52">
        <f>E30*$C$30</f>
        <v>8264.503333333334</v>
      </c>
      <c r="F31" s="52">
        <f t="shared" ref="F31:AB31" si="21">F30*$C$30</f>
        <v>0</v>
      </c>
      <c r="G31" s="52">
        <f t="shared" si="21"/>
        <v>0</v>
      </c>
      <c r="H31" s="52">
        <f t="shared" si="21"/>
        <v>8264.503333333334</v>
      </c>
      <c r="I31" s="52">
        <f t="shared" si="21"/>
        <v>0</v>
      </c>
      <c r="J31" s="52">
        <f t="shared" si="21"/>
        <v>0</v>
      </c>
      <c r="K31" s="52">
        <f t="shared" si="21"/>
        <v>8264.503333333334</v>
      </c>
      <c r="L31" s="52">
        <f t="shared" si="21"/>
        <v>0</v>
      </c>
      <c r="M31" s="52">
        <f t="shared" si="21"/>
        <v>0</v>
      </c>
      <c r="N31" s="52">
        <f t="shared" si="21"/>
        <v>0</v>
      </c>
      <c r="O31" s="52">
        <f t="shared" si="21"/>
        <v>0</v>
      </c>
      <c r="P31" s="52">
        <f t="shared" si="21"/>
        <v>0</v>
      </c>
      <c r="Q31" s="52">
        <f t="shared" si="21"/>
        <v>0</v>
      </c>
      <c r="R31" s="52">
        <f t="shared" si="21"/>
        <v>0</v>
      </c>
      <c r="S31" s="52">
        <f t="shared" si="21"/>
        <v>0</v>
      </c>
      <c r="T31" s="52">
        <f t="shared" si="21"/>
        <v>0</v>
      </c>
      <c r="U31" s="52">
        <f t="shared" si="21"/>
        <v>0</v>
      </c>
      <c r="V31" s="52">
        <f t="shared" si="21"/>
        <v>0</v>
      </c>
      <c r="W31" s="52">
        <f t="shared" si="21"/>
        <v>0</v>
      </c>
      <c r="X31" s="52">
        <f t="shared" si="21"/>
        <v>0</v>
      </c>
      <c r="Y31" s="52">
        <f t="shared" si="21"/>
        <v>0</v>
      </c>
      <c r="Z31" s="52">
        <f t="shared" si="21"/>
        <v>0</v>
      </c>
      <c r="AA31" s="52">
        <f t="shared" si="21"/>
        <v>0</v>
      </c>
      <c r="AB31" s="52">
        <f t="shared" si="21"/>
        <v>0</v>
      </c>
      <c r="AC31" s="52">
        <f t="shared" ref="AC31" si="22">SUM(E31:AB31)</f>
        <v>24793.510000000002</v>
      </c>
    </row>
    <row r="32" spans="2:29" x14ac:dyDescent="0.2">
      <c r="B32" s="270" t="s">
        <v>141</v>
      </c>
      <c r="C32" s="271">
        <f>'Serviços - PJ'!B31</f>
        <v>38889.000000000007</v>
      </c>
      <c r="D32" s="49" t="s">
        <v>131</v>
      </c>
      <c r="E32" s="176"/>
      <c r="F32" s="176"/>
      <c r="G32" s="176">
        <f>1/8</f>
        <v>0.125</v>
      </c>
      <c r="H32" s="176"/>
      <c r="I32" s="176"/>
      <c r="J32" s="176">
        <f>1/8</f>
        <v>0.125</v>
      </c>
      <c r="K32" s="176"/>
      <c r="L32" s="176"/>
      <c r="M32" s="176">
        <f>1/8</f>
        <v>0.125</v>
      </c>
      <c r="N32" s="176"/>
      <c r="O32" s="176"/>
      <c r="P32" s="176">
        <f>1/8</f>
        <v>0.125</v>
      </c>
      <c r="Q32" s="176"/>
      <c r="R32" s="176"/>
      <c r="S32" s="176">
        <f>1/8</f>
        <v>0.125</v>
      </c>
      <c r="T32" s="176"/>
      <c r="U32" s="176"/>
      <c r="V32" s="176">
        <f>1/8</f>
        <v>0.125</v>
      </c>
      <c r="W32" s="176"/>
      <c r="X32" s="176"/>
      <c r="Y32" s="176">
        <f>1/8</f>
        <v>0.125</v>
      </c>
      <c r="Z32" s="176"/>
      <c r="AA32" s="176"/>
      <c r="AB32" s="176">
        <f>1/8</f>
        <v>0.125</v>
      </c>
      <c r="AC32" s="50">
        <f t="shared" si="0"/>
        <v>1</v>
      </c>
    </row>
    <row r="33" spans="1:104" x14ac:dyDescent="0.2">
      <c r="B33" s="270"/>
      <c r="C33" s="271"/>
      <c r="D33" s="51" t="s">
        <v>132</v>
      </c>
      <c r="E33" s="52">
        <f>E32*$C$32</f>
        <v>0</v>
      </c>
      <c r="F33" s="52">
        <f t="shared" ref="F33:AB33" si="23">F32*$C$32</f>
        <v>0</v>
      </c>
      <c r="G33" s="52">
        <f t="shared" si="23"/>
        <v>4861.1250000000009</v>
      </c>
      <c r="H33" s="52">
        <f t="shared" si="23"/>
        <v>0</v>
      </c>
      <c r="I33" s="52">
        <f t="shared" si="23"/>
        <v>0</v>
      </c>
      <c r="J33" s="52">
        <f t="shared" si="23"/>
        <v>4861.1250000000009</v>
      </c>
      <c r="K33" s="52">
        <f t="shared" si="23"/>
        <v>0</v>
      </c>
      <c r="L33" s="52">
        <f t="shared" si="23"/>
        <v>0</v>
      </c>
      <c r="M33" s="52">
        <f t="shared" si="23"/>
        <v>4861.1250000000009</v>
      </c>
      <c r="N33" s="52">
        <f t="shared" si="23"/>
        <v>0</v>
      </c>
      <c r="O33" s="52">
        <f t="shared" si="23"/>
        <v>0</v>
      </c>
      <c r="P33" s="52">
        <f t="shared" si="23"/>
        <v>4861.1250000000009</v>
      </c>
      <c r="Q33" s="52">
        <f t="shared" si="23"/>
        <v>0</v>
      </c>
      <c r="R33" s="52">
        <f t="shared" si="23"/>
        <v>0</v>
      </c>
      <c r="S33" s="52">
        <f t="shared" si="23"/>
        <v>4861.1250000000009</v>
      </c>
      <c r="T33" s="52">
        <f t="shared" si="23"/>
        <v>0</v>
      </c>
      <c r="U33" s="52">
        <f t="shared" si="23"/>
        <v>0</v>
      </c>
      <c r="V33" s="52">
        <f t="shared" si="23"/>
        <v>4861.1250000000009</v>
      </c>
      <c r="W33" s="52">
        <f t="shared" si="23"/>
        <v>0</v>
      </c>
      <c r="X33" s="52">
        <f t="shared" si="23"/>
        <v>0</v>
      </c>
      <c r="Y33" s="52">
        <f t="shared" si="23"/>
        <v>4861.1250000000009</v>
      </c>
      <c r="Z33" s="52">
        <f t="shared" si="23"/>
        <v>0</v>
      </c>
      <c r="AA33" s="52">
        <f t="shared" si="23"/>
        <v>0</v>
      </c>
      <c r="AB33" s="52">
        <f t="shared" si="23"/>
        <v>4861.1250000000009</v>
      </c>
      <c r="AC33" s="52">
        <f t="shared" ref="AC33:AC35" si="24">SUM(E33:AB33)</f>
        <v>38889.000000000007</v>
      </c>
    </row>
    <row r="34" spans="1:104" x14ac:dyDescent="0.2">
      <c r="B34" s="270" t="s">
        <v>46</v>
      </c>
      <c r="C34" s="271">
        <f>Investimento!E17+'Custo do Curso'!C44</f>
        <v>333240.7</v>
      </c>
      <c r="D34" s="49" t="s">
        <v>131</v>
      </c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>
        <f>1/3</f>
        <v>0.33333333333333331</v>
      </c>
      <c r="W34" s="176"/>
      <c r="X34" s="176"/>
      <c r="Y34" s="176">
        <f>1/3</f>
        <v>0.33333333333333331</v>
      </c>
      <c r="Z34" s="176"/>
      <c r="AA34" s="176"/>
      <c r="AB34" s="176">
        <f>1/3</f>
        <v>0.33333333333333331</v>
      </c>
      <c r="AC34" s="50">
        <f t="shared" si="24"/>
        <v>1</v>
      </c>
    </row>
    <row r="35" spans="1:104" x14ac:dyDescent="0.2">
      <c r="B35" s="270"/>
      <c r="C35" s="271"/>
      <c r="D35" s="51" t="s">
        <v>132</v>
      </c>
      <c r="E35" s="52">
        <f>E34*$C$34</f>
        <v>0</v>
      </c>
      <c r="F35" s="52">
        <f t="shared" ref="F35:AB35" si="25">F34*$C$34</f>
        <v>0</v>
      </c>
      <c r="G35" s="52">
        <f t="shared" si="25"/>
        <v>0</v>
      </c>
      <c r="H35" s="52">
        <f t="shared" si="25"/>
        <v>0</v>
      </c>
      <c r="I35" s="52">
        <f t="shared" si="25"/>
        <v>0</v>
      </c>
      <c r="J35" s="52">
        <f t="shared" si="25"/>
        <v>0</v>
      </c>
      <c r="K35" s="52">
        <f t="shared" si="25"/>
        <v>0</v>
      </c>
      <c r="L35" s="52">
        <f t="shared" si="25"/>
        <v>0</v>
      </c>
      <c r="M35" s="52">
        <f t="shared" si="25"/>
        <v>0</v>
      </c>
      <c r="N35" s="52">
        <f t="shared" si="25"/>
        <v>0</v>
      </c>
      <c r="O35" s="52">
        <f t="shared" si="25"/>
        <v>0</v>
      </c>
      <c r="P35" s="52">
        <f t="shared" si="25"/>
        <v>0</v>
      </c>
      <c r="Q35" s="52">
        <f t="shared" si="25"/>
        <v>0</v>
      </c>
      <c r="R35" s="52">
        <f t="shared" si="25"/>
        <v>0</v>
      </c>
      <c r="S35" s="52">
        <f t="shared" si="25"/>
        <v>0</v>
      </c>
      <c r="T35" s="52">
        <f t="shared" si="25"/>
        <v>0</v>
      </c>
      <c r="U35" s="52">
        <f t="shared" si="25"/>
        <v>0</v>
      </c>
      <c r="V35" s="52">
        <f t="shared" si="25"/>
        <v>111080.23333333334</v>
      </c>
      <c r="W35" s="52">
        <f t="shared" si="25"/>
        <v>0</v>
      </c>
      <c r="X35" s="52">
        <f t="shared" si="25"/>
        <v>0</v>
      </c>
      <c r="Y35" s="52">
        <f t="shared" si="25"/>
        <v>111080.23333333334</v>
      </c>
      <c r="Z35" s="52">
        <f t="shared" si="25"/>
        <v>0</v>
      </c>
      <c r="AA35" s="52">
        <f t="shared" si="25"/>
        <v>0</v>
      </c>
      <c r="AB35" s="52">
        <f t="shared" si="25"/>
        <v>111080.23333333334</v>
      </c>
      <c r="AC35" s="52">
        <f t="shared" si="24"/>
        <v>333240.7</v>
      </c>
    </row>
    <row r="36" spans="1:104" x14ac:dyDescent="0.2">
      <c r="B36" s="270" t="s">
        <v>269</v>
      </c>
      <c r="C36" s="271">
        <f>'Diárias e Passagens'!E9</f>
        <v>4248</v>
      </c>
      <c r="D36" s="49" t="s">
        <v>131</v>
      </c>
      <c r="E36" s="176"/>
      <c r="F36" s="176"/>
      <c r="G36" s="176">
        <f>1/8</f>
        <v>0.125</v>
      </c>
      <c r="H36" s="176"/>
      <c r="I36" s="176"/>
      <c r="J36" s="176">
        <f>1/8</f>
        <v>0.125</v>
      </c>
      <c r="K36" s="176"/>
      <c r="L36" s="176"/>
      <c r="M36" s="176">
        <f>1/8</f>
        <v>0.125</v>
      </c>
      <c r="N36" s="176"/>
      <c r="O36" s="176"/>
      <c r="P36" s="176">
        <f>1/8</f>
        <v>0.125</v>
      </c>
      <c r="Q36" s="176"/>
      <c r="R36" s="176"/>
      <c r="S36" s="176">
        <f>1/8</f>
        <v>0.125</v>
      </c>
      <c r="T36" s="176"/>
      <c r="U36" s="176"/>
      <c r="V36" s="176">
        <f>1/8</f>
        <v>0.125</v>
      </c>
      <c r="W36" s="176"/>
      <c r="X36" s="176"/>
      <c r="Y36" s="176">
        <f>1/8</f>
        <v>0.125</v>
      </c>
      <c r="Z36" s="176"/>
      <c r="AA36" s="176"/>
      <c r="AB36" s="176">
        <f>1/8</f>
        <v>0.125</v>
      </c>
      <c r="AC36" s="50">
        <f t="shared" ref="AC36:AC43" si="26">SUM(E36:AB36)</f>
        <v>1</v>
      </c>
    </row>
    <row r="37" spans="1:104" x14ac:dyDescent="0.2">
      <c r="B37" s="270"/>
      <c r="C37" s="271"/>
      <c r="D37" s="51" t="s">
        <v>132</v>
      </c>
      <c r="E37" s="52">
        <f>E36*$C$36</f>
        <v>0</v>
      </c>
      <c r="F37" s="52">
        <f t="shared" ref="F37:AB37" si="27">F36*$C$36</f>
        <v>0</v>
      </c>
      <c r="G37" s="52">
        <f t="shared" si="27"/>
        <v>531</v>
      </c>
      <c r="H37" s="52">
        <f t="shared" si="27"/>
        <v>0</v>
      </c>
      <c r="I37" s="52">
        <f t="shared" si="27"/>
        <v>0</v>
      </c>
      <c r="J37" s="52">
        <f t="shared" si="27"/>
        <v>531</v>
      </c>
      <c r="K37" s="52">
        <f t="shared" si="27"/>
        <v>0</v>
      </c>
      <c r="L37" s="52">
        <f t="shared" si="27"/>
        <v>0</v>
      </c>
      <c r="M37" s="52">
        <f t="shared" si="27"/>
        <v>531</v>
      </c>
      <c r="N37" s="52">
        <f t="shared" si="27"/>
        <v>0</v>
      </c>
      <c r="O37" s="52">
        <f t="shared" si="27"/>
        <v>0</v>
      </c>
      <c r="P37" s="52">
        <f t="shared" si="27"/>
        <v>531</v>
      </c>
      <c r="Q37" s="52">
        <f t="shared" si="27"/>
        <v>0</v>
      </c>
      <c r="R37" s="52">
        <f t="shared" si="27"/>
        <v>0</v>
      </c>
      <c r="S37" s="52">
        <f t="shared" si="27"/>
        <v>531</v>
      </c>
      <c r="T37" s="52">
        <f t="shared" si="27"/>
        <v>0</v>
      </c>
      <c r="U37" s="52">
        <f t="shared" si="27"/>
        <v>0</v>
      </c>
      <c r="V37" s="52">
        <f t="shared" si="27"/>
        <v>531</v>
      </c>
      <c r="W37" s="52">
        <f t="shared" si="27"/>
        <v>0</v>
      </c>
      <c r="X37" s="52">
        <f t="shared" si="27"/>
        <v>0</v>
      </c>
      <c r="Y37" s="52">
        <f t="shared" si="27"/>
        <v>531</v>
      </c>
      <c r="Z37" s="52">
        <f t="shared" si="27"/>
        <v>0</v>
      </c>
      <c r="AA37" s="52">
        <f t="shared" si="27"/>
        <v>0</v>
      </c>
      <c r="AB37" s="52">
        <f t="shared" si="27"/>
        <v>531</v>
      </c>
      <c r="AC37" s="52">
        <f t="shared" si="26"/>
        <v>4248</v>
      </c>
    </row>
    <row r="38" spans="1:104" x14ac:dyDescent="0.2">
      <c r="B38" s="270" t="s">
        <v>142</v>
      </c>
      <c r="C38" s="271">
        <f>'Custo do Curso'!H22</f>
        <v>12744</v>
      </c>
      <c r="D38" s="49" t="s">
        <v>131</v>
      </c>
      <c r="E38" s="176"/>
      <c r="F38" s="176"/>
      <c r="G38" s="176">
        <f>1/8</f>
        <v>0.125</v>
      </c>
      <c r="H38" s="176"/>
      <c r="I38" s="176"/>
      <c r="J38" s="176">
        <f>1/8</f>
        <v>0.125</v>
      </c>
      <c r="K38" s="176"/>
      <c r="L38" s="176"/>
      <c r="M38" s="176">
        <f>1/8</f>
        <v>0.125</v>
      </c>
      <c r="N38" s="176"/>
      <c r="O38" s="176"/>
      <c r="P38" s="176">
        <f>1/8</f>
        <v>0.125</v>
      </c>
      <c r="Q38" s="176"/>
      <c r="R38" s="176"/>
      <c r="S38" s="176">
        <f>1/8</f>
        <v>0.125</v>
      </c>
      <c r="T38" s="176"/>
      <c r="U38" s="176"/>
      <c r="V38" s="176">
        <f>1/8</f>
        <v>0.125</v>
      </c>
      <c r="W38" s="176"/>
      <c r="X38" s="176"/>
      <c r="Y38" s="176">
        <f>1/8</f>
        <v>0.125</v>
      </c>
      <c r="Z38" s="176"/>
      <c r="AA38" s="176"/>
      <c r="AB38" s="176">
        <f>1/8</f>
        <v>0.125</v>
      </c>
      <c r="AC38" s="50">
        <f t="shared" ref="AC38:AC41" si="28">SUM(E38:AB38)</f>
        <v>1</v>
      </c>
    </row>
    <row r="39" spans="1:104" x14ac:dyDescent="0.2">
      <c r="B39" s="270"/>
      <c r="C39" s="271"/>
      <c r="D39" s="51" t="s">
        <v>132</v>
      </c>
      <c r="E39" s="52">
        <f>E38*$C$38</f>
        <v>0</v>
      </c>
      <c r="F39" s="52">
        <f t="shared" ref="F39:AB39" si="29">F38*$C$38</f>
        <v>0</v>
      </c>
      <c r="G39" s="52">
        <f t="shared" si="29"/>
        <v>1593</v>
      </c>
      <c r="H39" s="52">
        <f t="shared" si="29"/>
        <v>0</v>
      </c>
      <c r="I39" s="52">
        <f t="shared" si="29"/>
        <v>0</v>
      </c>
      <c r="J39" s="52">
        <f t="shared" si="29"/>
        <v>1593</v>
      </c>
      <c r="K39" s="52">
        <f t="shared" si="29"/>
        <v>0</v>
      </c>
      <c r="L39" s="52">
        <f t="shared" si="29"/>
        <v>0</v>
      </c>
      <c r="M39" s="52">
        <f t="shared" si="29"/>
        <v>1593</v>
      </c>
      <c r="N39" s="52">
        <f t="shared" si="29"/>
        <v>0</v>
      </c>
      <c r="O39" s="52">
        <f t="shared" si="29"/>
        <v>0</v>
      </c>
      <c r="P39" s="52">
        <f t="shared" si="29"/>
        <v>1593</v>
      </c>
      <c r="Q39" s="52">
        <f t="shared" si="29"/>
        <v>0</v>
      </c>
      <c r="R39" s="52">
        <f t="shared" si="29"/>
        <v>0</v>
      </c>
      <c r="S39" s="52">
        <f t="shared" si="29"/>
        <v>1593</v>
      </c>
      <c r="T39" s="52">
        <f t="shared" si="29"/>
        <v>0</v>
      </c>
      <c r="U39" s="52">
        <f t="shared" si="29"/>
        <v>0</v>
      </c>
      <c r="V39" s="52">
        <f t="shared" si="29"/>
        <v>1593</v>
      </c>
      <c r="W39" s="52">
        <f t="shared" si="29"/>
        <v>0</v>
      </c>
      <c r="X39" s="52">
        <f t="shared" si="29"/>
        <v>0</v>
      </c>
      <c r="Y39" s="52">
        <f t="shared" si="29"/>
        <v>1593</v>
      </c>
      <c r="Z39" s="52">
        <f t="shared" si="29"/>
        <v>0</v>
      </c>
      <c r="AA39" s="52">
        <f t="shared" si="29"/>
        <v>0</v>
      </c>
      <c r="AB39" s="52">
        <f t="shared" si="29"/>
        <v>1593</v>
      </c>
      <c r="AC39" s="52">
        <f t="shared" si="28"/>
        <v>12744</v>
      </c>
    </row>
    <row r="40" spans="1:104" x14ac:dyDescent="0.2">
      <c r="B40" s="272" t="s">
        <v>394</v>
      </c>
      <c r="C40" s="274">
        <f>'Custo do Curso'!H17</f>
        <v>61540.792000000016</v>
      </c>
      <c r="D40" s="49" t="s">
        <v>131</v>
      </c>
      <c r="E40" s="176"/>
      <c r="F40" s="176"/>
      <c r="G40" s="176">
        <f>1/8</f>
        <v>0.125</v>
      </c>
      <c r="H40" s="176"/>
      <c r="I40" s="176"/>
      <c r="J40" s="176">
        <f>1/8</f>
        <v>0.125</v>
      </c>
      <c r="K40" s="176"/>
      <c r="L40" s="176"/>
      <c r="M40" s="176">
        <f>1/8</f>
        <v>0.125</v>
      </c>
      <c r="N40" s="176"/>
      <c r="O40" s="176"/>
      <c r="P40" s="176">
        <f>1/8</f>
        <v>0.125</v>
      </c>
      <c r="Q40" s="176"/>
      <c r="R40" s="176"/>
      <c r="S40" s="176">
        <f>1/8</f>
        <v>0.125</v>
      </c>
      <c r="T40" s="176"/>
      <c r="U40" s="176"/>
      <c r="V40" s="176">
        <f>1/8</f>
        <v>0.125</v>
      </c>
      <c r="W40" s="176"/>
      <c r="X40" s="176"/>
      <c r="Y40" s="176">
        <f>1/8</f>
        <v>0.125</v>
      </c>
      <c r="Z40" s="176"/>
      <c r="AA40" s="176"/>
      <c r="AB40" s="176">
        <f>1/8</f>
        <v>0.125</v>
      </c>
      <c r="AC40" s="50">
        <f t="shared" si="28"/>
        <v>1</v>
      </c>
    </row>
    <row r="41" spans="1:104" x14ac:dyDescent="0.2">
      <c r="B41" s="273"/>
      <c r="C41" s="275"/>
      <c r="D41" s="51" t="s">
        <v>132</v>
      </c>
      <c r="E41" s="52">
        <f>E40*$C$40</f>
        <v>0</v>
      </c>
      <c r="F41" s="52">
        <f t="shared" ref="F41:AB41" si="30">F40*$C$40</f>
        <v>0</v>
      </c>
      <c r="G41" s="52">
        <f t="shared" si="30"/>
        <v>7692.599000000002</v>
      </c>
      <c r="H41" s="52">
        <f t="shared" si="30"/>
        <v>0</v>
      </c>
      <c r="I41" s="52">
        <f t="shared" si="30"/>
        <v>0</v>
      </c>
      <c r="J41" s="52">
        <f t="shared" si="30"/>
        <v>7692.599000000002</v>
      </c>
      <c r="K41" s="52">
        <f t="shared" si="30"/>
        <v>0</v>
      </c>
      <c r="L41" s="52">
        <f t="shared" si="30"/>
        <v>0</v>
      </c>
      <c r="M41" s="52">
        <f t="shared" si="30"/>
        <v>7692.599000000002</v>
      </c>
      <c r="N41" s="52">
        <f t="shared" si="30"/>
        <v>0</v>
      </c>
      <c r="O41" s="52">
        <f t="shared" si="30"/>
        <v>0</v>
      </c>
      <c r="P41" s="52">
        <f t="shared" si="30"/>
        <v>7692.599000000002</v>
      </c>
      <c r="Q41" s="52">
        <f t="shared" si="30"/>
        <v>0</v>
      </c>
      <c r="R41" s="52">
        <f t="shared" si="30"/>
        <v>0</v>
      </c>
      <c r="S41" s="52">
        <f t="shared" si="30"/>
        <v>7692.599000000002</v>
      </c>
      <c r="T41" s="52">
        <f t="shared" si="30"/>
        <v>0</v>
      </c>
      <c r="U41" s="52">
        <f t="shared" si="30"/>
        <v>0</v>
      </c>
      <c r="V41" s="52">
        <f t="shared" si="30"/>
        <v>7692.599000000002</v>
      </c>
      <c r="W41" s="52">
        <f t="shared" si="30"/>
        <v>0</v>
      </c>
      <c r="X41" s="52">
        <f t="shared" si="30"/>
        <v>0</v>
      </c>
      <c r="Y41" s="52">
        <f t="shared" si="30"/>
        <v>7692.599000000002</v>
      </c>
      <c r="Z41" s="52">
        <f t="shared" si="30"/>
        <v>0</v>
      </c>
      <c r="AA41" s="52">
        <f t="shared" si="30"/>
        <v>0</v>
      </c>
      <c r="AB41" s="52">
        <f t="shared" si="30"/>
        <v>7692.599000000002</v>
      </c>
      <c r="AC41" s="52">
        <f t="shared" si="28"/>
        <v>61540.792000000016</v>
      </c>
    </row>
    <row r="42" spans="1:104" x14ac:dyDescent="0.2">
      <c r="B42" s="272" t="s">
        <v>395</v>
      </c>
      <c r="C42" s="274">
        <f>'Custo do Curso'!H32</f>
        <v>187596</v>
      </c>
      <c r="D42" s="49" t="s">
        <v>131</v>
      </c>
      <c r="E42" s="176"/>
      <c r="F42" s="176"/>
      <c r="G42" s="176">
        <f>1/8</f>
        <v>0.125</v>
      </c>
      <c r="H42" s="176"/>
      <c r="I42" s="176"/>
      <c r="J42" s="176">
        <f>1/8</f>
        <v>0.125</v>
      </c>
      <c r="K42" s="176"/>
      <c r="L42" s="176"/>
      <c r="M42" s="176">
        <f>1/8</f>
        <v>0.125</v>
      </c>
      <c r="N42" s="176"/>
      <c r="O42" s="176"/>
      <c r="P42" s="176">
        <f>1/8</f>
        <v>0.125</v>
      </c>
      <c r="Q42" s="176"/>
      <c r="R42" s="176"/>
      <c r="S42" s="176">
        <f>1/8</f>
        <v>0.125</v>
      </c>
      <c r="T42" s="176"/>
      <c r="U42" s="176"/>
      <c r="V42" s="176">
        <f>1/8</f>
        <v>0.125</v>
      </c>
      <c r="W42" s="176"/>
      <c r="X42" s="176"/>
      <c r="Y42" s="176">
        <f>1/8</f>
        <v>0.125</v>
      </c>
      <c r="Z42" s="176"/>
      <c r="AA42" s="176"/>
      <c r="AB42" s="176">
        <f>1/8</f>
        <v>0.125</v>
      </c>
      <c r="AC42" s="50">
        <f t="shared" si="26"/>
        <v>1</v>
      </c>
    </row>
    <row r="43" spans="1:104" x14ac:dyDescent="0.2">
      <c r="B43" s="273"/>
      <c r="C43" s="275"/>
      <c r="D43" s="51" t="s">
        <v>132</v>
      </c>
      <c r="E43" s="52">
        <f>E42*$C$42</f>
        <v>0</v>
      </c>
      <c r="F43" s="52">
        <f t="shared" ref="F43:AB43" si="31">F42*$C$42</f>
        <v>0</v>
      </c>
      <c r="G43" s="52">
        <f t="shared" si="31"/>
        <v>23449.5</v>
      </c>
      <c r="H43" s="52">
        <f t="shared" si="31"/>
        <v>0</v>
      </c>
      <c r="I43" s="52">
        <f t="shared" si="31"/>
        <v>0</v>
      </c>
      <c r="J43" s="52">
        <f t="shared" si="31"/>
        <v>23449.5</v>
      </c>
      <c r="K43" s="52">
        <f t="shared" si="31"/>
        <v>0</v>
      </c>
      <c r="L43" s="52">
        <f t="shared" si="31"/>
        <v>0</v>
      </c>
      <c r="M43" s="52">
        <f t="shared" si="31"/>
        <v>23449.5</v>
      </c>
      <c r="N43" s="52">
        <f t="shared" si="31"/>
        <v>0</v>
      </c>
      <c r="O43" s="52">
        <f t="shared" si="31"/>
        <v>0</v>
      </c>
      <c r="P43" s="52">
        <f t="shared" si="31"/>
        <v>23449.5</v>
      </c>
      <c r="Q43" s="52">
        <f t="shared" si="31"/>
        <v>0</v>
      </c>
      <c r="R43" s="52">
        <f t="shared" si="31"/>
        <v>0</v>
      </c>
      <c r="S43" s="52">
        <f t="shared" si="31"/>
        <v>23449.5</v>
      </c>
      <c r="T43" s="52">
        <f t="shared" si="31"/>
        <v>0</v>
      </c>
      <c r="U43" s="52">
        <f t="shared" si="31"/>
        <v>0</v>
      </c>
      <c r="V43" s="52">
        <f t="shared" si="31"/>
        <v>23449.5</v>
      </c>
      <c r="W43" s="52">
        <f t="shared" si="31"/>
        <v>0</v>
      </c>
      <c r="X43" s="52">
        <f t="shared" si="31"/>
        <v>0</v>
      </c>
      <c r="Y43" s="52">
        <f t="shared" si="31"/>
        <v>23449.5</v>
      </c>
      <c r="Z43" s="52">
        <f t="shared" si="31"/>
        <v>0</v>
      </c>
      <c r="AA43" s="52">
        <f t="shared" si="31"/>
        <v>0</v>
      </c>
      <c r="AB43" s="52">
        <f t="shared" si="31"/>
        <v>23449.5</v>
      </c>
      <c r="AC43" s="52">
        <f t="shared" si="26"/>
        <v>187596</v>
      </c>
    </row>
    <row r="44" spans="1:104" s="59" customFormat="1" x14ac:dyDescent="0.2">
      <c r="A44" s="54"/>
      <c r="B44" s="55"/>
      <c r="C44" s="56">
        <f>SUM(C6:C43)</f>
        <v>1042200.002</v>
      </c>
      <c r="D44" s="57" t="s">
        <v>132</v>
      </c>
      <c r="E44" s="58">
        <f>E7+E9+E11+E13+E15+E17+E19+E21+E23+E25+E27+E29+E31+E33+E35+E37+E39+E41+E43</f>
        <v>19725.148333333334</v>
      </c>
      <c r="F44" s="58">
        <f t="shared" ref="F44:AC44" si="32">F7+F9+F11+F13+F15+F17+F19+F21+F23+F25+F27+F29+F31+F33+F35+F37+F39+F41+F43</f>
        <v>4391.8450000000003</v>
      </c>
      <c r="G44" s="58">
        <f t="shared" si="32"/>
        <v>66315.608999999997</v>
      </c>
      <c r="H44" s="58">
        <f t="shared" si="32"/>
        <v>19725.148333333334</v>
      </c>
      <c r="I44" s="58">
        <f t="shared" si="32"/>
        <v>4391.8450000000003</v>
      </c>
      <c r="J44" s="58">
        <f t="shared" si="32"/>
        <v>66315.608999999997</v>
      </c>
      <c r="K44" s="58">
        <f t="shared" si="32"/>
        <v>19725.148333333334</v>
      </c>
      <c r="L44" s="58">
        <f t="shared" si="32"/>
        <v>4391.8450000000003</v>
      </c>
      <c r="M44" s="58">
        <f t="shared" si="32"/>
        <v>66315.608999999997</v>
      </c>
      <c r="N44" s="58">
        <f t="shared" si="32"/>
        <v>4391.8450000000003</v>
      </c>
      <c r="O44" s="58">
        <f t="shared" si="32"/>
        <v>4391.8450000000003</v>
      </c>
      <c r="P44" s="58">
        <f t="shared" si="32"/>
        <v>66315.608999999997</v>
      </c>
      <c r="Q44" s="58">
        <f t="shared" si="32"/>
        <v>4391.8450000000003</v>
      </c>
      <c r="R44" s="58">
        <f t="shared" si="32"/>
        <v>4391.8450000000003</v>
      </c>
      <c r="S44" s="58">
        <f t="shared" si="32"/>
        <v>66315.608999999997</v>
      </c>
      <c r="T44" s="58">
        <f t="shared" si="32"/>
        <v>4391.8450000000003</v>
      </c>
      <c r="U44" s="58">
        <f t="shared" si="32"/>
        <v>4391.8450000000003</v>
      </c>
      <c r="V44" s="58">
        <f t="shared" si="32"/>
        <v>198117.50900000002</v>
      </c>
      <c r="W44" s="58">
        <f t="shared" si="32"/>
        <v>4391.8450000000003</v>
      </c>
      <c r="X44" s="58">
        <f t="shared" si="32"/>
        <v>4391.8450000000003</v>
      </c>
      <c r="Y44" s="58">
        <f t="shared" si="32"/>
        <v>198117.50900000002</v>
      </c>
      <c r="Z44" s="58">
        <f t="shared" si="32"/>
        <v>4391.8450000000003</v>
      </c>
      <c r="AA44" s="58">
        <f t="shared" si="32"/>
        <v>4391.8450000000003</v>
      </c>
      <c r="AB44" s="58">
        <f t="shared" si="32"/>
        <v>198117.50900000002</v>
      </c>
      <c r="AC44" s="56">
        <f t="shared" si="32"/>
        <v>1042200.002</v>
      </c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</row>
    <row r="45" spans="1:104" x14ac:dyDescent="0.2">
      <c r="B45" s="94"/>
      <c r="C45" s="45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95"/>
    </row>
    <row r="46" spans="1:104" s="43" customFormat="1" x14ac:dyDescent="0.2">
      <c r="C46" s="45"/>
    </row>
    <row r="47" spans="1:104" s="43" customFormat="1" x14ac:dyDescent="0.2">
      <c r="C47" s="90" t="s">
        <v>143</v>
      </c>
      <c r="D47" s="87">
        <f>'Custo do Curso'!H43</f>
        <v>45</v>
      </c>
    </row>
    <row r="48" spans="1:104" s="43" customFormat="1" x14ac:dyDescent="0.2">
      <c r="C48" s="90" t="s">
        <v>144</v>
      </c>
      <c r="D48" s="60">
        <f>'Custo do Curso'!C47</f>
        <v>965</v>
      </c>
    </row>
    <row r="49" spans="3:29" s="43" customFormat="1" x14ac:dyDescent="0.2">
      <c r="C49" s="90" t="s">
        <v>392</v>
      </c>
      <c r="E49" s="88">
        <f>D47*D48</f>
        <v>43425</v>
      </c>
      <c r="F49" s="89">
        <f t="shared" ref="F49:AB49" si="33">$E$49+E49</f>
        <v>86850</v>
      </c>
      <c r="G49" s="89">
        <f t="shared" si="33"/>
        <v>130275</v>
      </c>
      <c r="H49" s="89">
        <f t="shared" si="33"/>
        <v>173700</v>
      </c>
      <c r="I49" s="89">
        <f t="shared" si="33"/>
        <v>217125</v>
      </c>
      <c r="J49" s="89">
        <f t="shared" si="33"/>
        <v>260550</v>
      </c>
      <c r="K49" s="89">
        <f t="shared" si="33"/>
        <v>303975</v>
      </c>
      <c r="L49" s="89">
        <f t="shared" si="33"/>
        <v>347400</v>
      </c>
      <c r="M49" s="89">
        <f t="shared" si="33"/>
        <v>390825</v>
      </c>
      <c r="N49" s="89">
        <f t="shared" si="33"/>
        <v>434250</v>
      </c>
      <c r="O49" s="89">
        <f t="shared" si="33"/>
        <v>477675</v>
      </c>
      <c r="P49" s="89">
        <f t="shared" si="33"/>
        <v>521100</v>
      </c>
      <c r="Q49" s="89">
        <f t="shared" si="33"/>
        <v>564525</v>
      </c>
      <c r="R49" s="89">
        <f t="shared" si="33"/>
        <v>607950</v>
      </c>
      <c r="S49" s="89">
        <f t="shared" si="33"/>
        <v>651375</v>
      </c>
      <c r="T49" s="89">
        <f t="shared" si="33"/>
        <v>694800</v>
      </c>
      <c r="U49" s="89">
        <f t="shared" si="33"/>
        <v>738225</v>
      </c>
      <c r="V49" s="89">
        <f t="shared" si="33"/>
        <v>781650</v>
      </c>
      <c r="W49" s="89">
        <f t="shared" si="33"/>
        <v>825075</v>
      </c>
      <c r="X49" s="89">
        <f t="shared" si="33"/>
        <v>868500</v>
      </c>
      <c r="Y49" s="89">
        <f t="shared" si="33"/>
        <v>911925</v>
      </c>
      <c r="Z49" s="89">
        <f t="shared" si="33"/>
        <v>955350</v>
      </c>
      <c r="AA49" s="89">
        <f t="shared" si="33"/>
        <v>998775</v>
      </c>
      <c r="AB49" s="89">
        <f t="shared" si="33"/>
        <v>1042200</v>
      </c>
      <c r="AC49" s="89"/>
    </row>
    <row r="50" spans="3:29" x14ac:dyDescent="0.2">
      <c r="C50" s="91" t="s">
        <v>391</v>
      </c>
      <c r="E50" s="92">
        <f>E44</f>
        <v>19725.148333333334</v>
      </c>
      <c r="F50" s="93">
        <f>F44+E50</f>
        <v>24116.993333333336</v>
      </c>
      <c r="G50" s="93">
        <f t="shared" ref="G50:AB50" si="34">G44+F50</f>
        <v>90432.602333333329</v>
      </c>
      <c r="H50" s="93">
        <f t="shared" si="34"/>
        <v>110157.75066666666</v>
      </c>
      <c r="I50" s="93">
        <f t="shared" si="34"/>
        <v>114549.59566666666</v>
      </c>
      <c r="J50" s="93">
        <f t="shared" si="34"/>
        <v>180865.20466666666</v>
      </c>
      <c r="K50" s="93">
        <f t="shared" si="34"/>
        <v>200590.353</v>
      </c>
      <c r="L50" s="93">
        <f t="shared" si="34"/>
        <v>204982.198</v>
      </c>
      <c r="M50" s="93">
        <f t="shared" si="34"/>
        <v>271297.80700000003</v>
      </c>
      <c r="N50" s="93">
        <f t="shared" si="34"/>
        <v>275689.652</v>
      </c>
      <c r="O50" s="93">
        <f t="shared" si="34"/>
        <v>280081.49699999997</v>
      </c>
      <c r="P50" s="93">
        <f t="shared" si="34"/>
        <v>346397.10599999997</v>
      </c>
      <c r="Q50" s="93">
        <f t="shared" si="34"/>
        <v>350788.95099999994</v>
      </c>
      <c r="R50" s="93">
        <f t="shared" si="34"/>
        <v>355180.79599999991</v>
      </c>
      <c r="S50" s="93">
        <f t="shared" si="34"/>
        <v>421496.40499999991</v>
      </c>
      <c r="T50" s="93">
        <f t="shared" si="34"/>
        <v>425888.24999999988</v>
      </c>
      <c r="U50" s="93">
        <f t="shared" si="34"/>
        <v>430280.09499999986</v>
      </c>
      <c r="V50" s="93">
        <f t="shared" si="34"/>
        <v>628397.60399999982</v>
      </c>
      <c r="W50" s="93">
        <f t="shared" si="34"/>
        <v>632789.44899999979</v>
      </c>
      <c r="X50" s="93">
        <f t="shared" si="34"/>
        <v>637181.29399999976</v>
      </c>
      <c r="Y50" s="93">
        <f t="shared" si="34"/>
        <v>835298.80299999984</v>
      </c>
      <c r="Z50" s="93">
        <f t="shared" si="34"/>
        <v>839690.64799999981</v>
      </c>
      <c r="AA50" s="93">
        <f t="shared" si="34"/>
        <v>844082.49299999978</v>
      </c>
      <c r="AB50" s="93">
        <f t="shared" si="34"/>
        <v>1042200.0019999999</v>
      </c>
    </row>
    <row r="51" spans="3:29" x14ac:dyDescent="0.2">
      <c r="C51" s="91" t="s">
        <v>390</v>
      </c>
      <c r="E51" s="93">
        <f>E49-E50</f>
        <v>23699.851666666666</v>
      </c>
      <c r="F51" s="93">
        <f t="shared" ref="F51:AB51" si="35">F49-F50</f>
        <v>62733.006666666668</v>
      </c>
      <c r="G51" s="93">
        <f t="shared" si="35"/>
        <v>39842.397666666671</v>
      </c>
      <c r="H51" s="93">
        <f t="shared" si="35"/>
        <v>63542.24933333334</v>
      </c>
      <c r="I51" s="93">
        <f t="shared" si="35"/>
        <v>102575.40433333334</v>
      </c>
      <c r="J51" s="93">
        <f t="shared" si="35"/>
        <v>79684.795333333343</v>
      </c>
      <c r="K51" s="93">
        <f t="shared" si="35"/>
        <v>103384.647</v>
      </c>
      <c r="L51" s="93">
        <f t="shared" si="35"/>
        <v>142417.802</v>
      </c>
      <c r="M51" s="93">
        <f t="shared" si="35"/>
        <v>119527.19299999997</v>
      </c>
      <c r="N51" s="93">
        <f t="shared" si="35"/>
        <v>158560.348</v>
      </c>
      <c r="O51" s="93">
        <f t="shared" si="35"/>
        <v>197593.50300000003</v>
      </c>
      <c r="P51" s="93">
        <f t="shared" si="35"/>
        <v>174702.89400000003</v>
      </c>
      <c r="Q51" s="93">
        <f t="shared" si="35"/>
        <v>213736.04900000006</v>
      </c>
      <c r="R51" s="93">
        <f t="shared" si="35"/>
        <v>252769.20400000009</v>
      </c>
      <c r="S51" s="93">
        <f t="shared" si="35"/>
        <v>229878.59500000009</v>
      </c>
      <c r="T51" s="93">
        <f t="shared" si="35"/>
        <v>268911.75000000012</v>
      </c>
      <c r="U51" s="93">
        <f t="shared" si="35"/>
        <v>307944.90500000014</v>
      </c>
      <c r="V51" s="93">
        <f t="shared" si="35"/>
        <v>153252.39600000018</v>
      </c>
      <c r="W51" s="93">
        <f t="shared" si="35"/>
        <v>192285.55100000021</v>
      </c>
      <c r="X51" s="93">
        <f t="shared" si="35"/>
        <v>231318.70600000024</v>
      </c>
      <c r="Y51" s="93">
        <f t="shared" si="35"/>
        <v>76626.19700000016</v>
      </c>
      <c r="Z51" s="93">
        <f t="shared" si="35"/>
        <v>115659.35200000019</v>
      </c>
      <c r="AA51" s="93">
        <f t="shared" si="35"/>
        <v>154692.50700000022</v>
      </c>
      <c r="AB51" s="93">
        <f t="shared" si="35"/>
        <v>-1.999999862164259E-3</v>
      </c>
    </row>
  </sheetData>
  <sheetProtection sheet="1" objects="1" scenarios="1"/>
  <mergeCells count="43">
    <mergeCell ref="B2:AC2"/>
    <mergeCell ref="B1:AC1"/>
    <mergeCell ref="C42:C43"/>
    <mergeCell ref="B42:B43"/>
    <mergeCell ref="B24:B25"/>
    <mergeCell ref="C24:C25"/>
    <mergeCell ref="B40:B41"/>
    <mergeCell ref="C40:C41"/>
    <mergeCell ref="B36:B37"/>
    <mergeCell ref="C36:C37"/>
    <mergeCell ref="B30:B31"/>
    <mergeCell ref="C30:C31"/>
    <mergeCell ref="B32:B33"/>
    <mergeCell ref="C32:C33"/>
    <mergeCell ref="B34:B35"/>
    <mergeCell ref="C34:C35"/>
    <mergeCell ref="B38:B39"/>
    <mergeCell ref="C38:C39"/>
    <mergeCell ref="B22:B23"/>
    <mergeCell ref="C22:C23"/>
    <mergeCell ref="B26:B27"/>
    <mergeCell ref="C26:C27"/>
    <mergeCell ref="B28:B29"/>
    <mergeCell ref="C28:C29"/>
    <mergeCell ref="B16:B17"/>
    <mergeCell ref="C16:C17"/>
    <mergeCell ref="B18:B19"/>
    <mergeCell ref="C18:C19"/>
    <mergeCell ref="B20:B21"/>
    <mergeCell ref="C20:C21"/>
    <mergeCell ref="B8:B9"/>
    <mergeCell ref="C8:C9"/>
    <mergeCell ref="B12:B13"/>
    <mergeCell ref="C12:C13"/>
    <mergeCell ref="B14:B15"/>
    <mergeCell ref="C14:C15"/>
    <mergeCell ref="B10:B11"/>
    <mergeCell ref="C10:C11"/>
    <mergeCell ref="B4:B5"/>
    <mergeCell ref="C4:D5"/>
    <mergeCell ref="E4:AB4"/>
    <mergeCell ref="B6:B7"/>
    <mergeCell ref="C6:C7"/>
  </mergeCells>
  <pageMargins left="0.51180555555555496" right="0.51180555555555496" top="0.78749999999999998" bottom="0.78749999999999998" header="0.51180555555555496" footer="0.51180555555555496"/>
  <pageSetup paperSize="9" scale="52" firstPageNumber="0" fitToWidth="2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FF841-3E0E-1447-BD42-503E2863009D}">
  <sheetPr>
    <pageSetUpPr fitToPage="1"/>
  </sheetPr>
  <dimension ref="A1:E16"/>
  <sheetViews>
    <sheetView zoomScale="130" zoomScaleNormal="130" workbookViewId="0">
      <selection activeCell="A6" sqref="A6"/>
    </sheetView>
  </sheetViews>
  <sheetFormatPr baseColWidth="10" defaultColWidth="11.5" defaultRowHeight="15" x14ac:dyDescent="0.2"/>
  <cols>
    <col min="1" max="1" width="50.83203125" customWidth="1"/>
    <col min="2" max="2" width="20.83203125" customWidth="1"/>
    <col min="3" max="4" width="12.83203125" customWidth="1"/>
    <col min="5" max="5" width="20.83203125" customWidth="1"/>
  </cols>
  <sheetData>
    <row r="1" spans="1:5" ht="16" x14ac:dyDescent="0.2">
      <c r="A1" s="231" t="s">
        <v>418</v>
      </c>
      <c r="B1" s="231"/>
      <c r="C1" s="231"/>
      <c r="D1" s="231"/>
      <c r="E1" s="231"/>
    </row>
    <row r="2" spans="1:5" ht="16" x14ac:dyDescent="0.2">
      <c r="A2" s="235" t="str">
        <f>'Custo do Curso'!B5</f>
        <v>Nome Projeto</v>
      </c>
      <c r="B2" s="236"/>
      <c r="C2" s="236"/>
      <c r="D2" s="236"/>
      <c r="E2" s="237"/>
    </row>
    <row r="3" spans="1:5" ht="16" x14ac:dyDescent="0.2">
      <c r="A3" s="109"/>
      <c r="B3" s="110"/>
      <c r="C3" s="110"/>
      <c r="D3" s="110"/>
      <c r="E3" s="111"/>
    </row>
    <row r="4" spans="1:5" ht="18" x14ac:dyDescent="0.2">
      <c r="A4" s="239" t="s">
        <v>427</v>
      </c>
      <c r="B4" s="239"/>
      <c r="C4" s="239"/>
      <c r="D4" s="239"/>
      <c r="E4" s="239"/>
    </row>
    <row r="5" spans="1:5" ht="51" x14ac:dyDescent="0.2">
      <c r="A5" s="30" t="s">
        <v>406</v>
      </c>
      <c r="B5" s="31" t="s">
        <v>407</v>
      </c>
      <c r="C5" s="30" t="s">
        <v>408</v>
      </c>
      <c r="D5" s="31" t="s">
        <v>409</v>
      </c>
      <c r="E5" s="31" t="s">
        <v>410</v>
      </c>
    </row>
    <row r="6" spans="1:5" x14ac:dyDescent="0.2">
      <c r="A6" s="32" t="s">
        <v>411</v>
      </c>
      <c r="B6" s="178">
        <v>99999999999</v>
      </c>
      <c r="C6" s="32">
        <v>0</v>
      </c>
      <c r="D6" s="146">
        <v>0</v>
      </c>
      <c r="E6" s="38">
        <f>IFERROR(C6*D6,0)</f>
        <v>0</v>
      </c>
    </row>
    <row r="7" spans="1:5" x14ac:dyDescent="0.2">
      <c r="A7" s="32" t="s">
        <v>412</v>
      </c>
      <c r="B7" s="178">
        <v>99999999999</v>
      </c>
      <c r="C7" s="32">
        <v>0</v>
      </c>
      <c r="D7" s="146">
        <v>0</v>
      </c>
      <c r="E7" s="38">
        <f t="shared" ref="E7:E15" si="0">IFERROR(C7*D7,0)</f>
        <v>0</v>
      </c>
    </row>
    <row r="8" spans="1:5" x14ac:dyDescent="0.2">
      <c r="A8" s="32" t="s">
        <v>413</v>
      </c>
      <c r="B8" s="178">
        <v>99999999999</v>
      </c>
      <c r="C8" s="32">
        <v>0</v>
      </c>
      <c r="D8" s="146">
        <v>0</v>
      </c>
      <c r="E8" s="38">
        <f t="shared" si="0"/>
        <v>0</v>
      </c>
    </row>
    <row r="9" spans="1:5" x14ac:dyDescent="0.2">
      <c r="A9" s="32"/>
      <c r="B9" s="178"/>
      <c r="C9" s="32"/>
      <c r="D9" s="146" t="str">
        <f>IFERROR(VLOOKUP(B9,Servidores!$A$54:$C$64,3,0),"")</f>
        <v/>
      </c>
      <c r="E9" s="38">
        <f t="shared" si="0"/>
        <v>0</v>
      </c>
    </row>
    <row r="10" spans="1:5" x14ac:dyDescent="0.2">
      <c r="A10" s="32"/>
      <c r="B10" s="178"/>
      <c r="C10" s="32"/>
      <c r="D10" s="146" t="str">
        <f>IFERROR(VLOOKUP(B10,Servidores!$A$54:$C$64,3,0),"")</f>
        <v/>
      </c>
      <c r="E10" s="38">
        <f t="shared" si="0"/>
        <v>0</v>
      </c>
    </row>
    <row r="11" spans="1:5" x14ac:dyDescent="0.2">
      <c r="A11" s="32"/>
      <c r="B11" s="178"/>
      <c r="C11" s="32"/>
      <c r="D11" s="146" t="str">
        <f>IFERROR(VLOOKUP(B11,Servidores!$A$54:$C$64,3,0),"")</f>
        <v/>
      </c>
      <c r="E11" s="38">
        <f t="shared" si="0"/>
        <v>0</v>
      </c>
    </row>
    <row r="12" spans="1:5" x14ac:dyDescent="0.2">
      <c r="A12" s="32"/>
      <c r="B12" s="178"/>
      <c r="C12" s="32"/>
      <c r="D12" s="146" t="str">
        <f>IFERROR(VLOOKUP(B12,Servidores!$A$54:$C$64,3,0),"")</f>
        <v/>
      </c>
      <c r="E12" s="38">
        <f t="shared" si="0"/>
        <v>0</v>
      </c>
    </row>
    <row r="13" spans="1:5" x14ac:dyDescent="0.2">
      <c r="A13" s="32"/>
      <c r="B13" s="178"/>
      <c r="C13" s="32"/>
      <c r="D13" s="146" t="str">
        <f>IFERROR(VLOOKUP(B13,Servidores!$A$54:$C$64,3,0),"")</f>
        <v/>
      </c>
      <c r="E13" s="38">
        <f t="shared" si="0"/>
        <v>0</v>
      </c>
    </row>
    <row r="14" spans="1:5" x14ac:dyDescent="0.2">
      <c r="A14" s="32"/>
      <c r="B14" s="178"/>
      <c r="C14" s="32"/>
      <c r="D14" s="146" t="str">
        <f>IFERROR(VLOOKUP(B14,Servidores!$A$54:$C$64,3,0),"")</f>
        <v/>
      </c>
      <c r="E14" s="38">
        <f t="shared" si="0"/>
        <v>0</v>
      </c>
    </row>
    <row r="15" spans="1:5" x14ac:dyDescent="0.2">
      <c r="A15" s="32"/>
      <c r="B15" s="178"/>
      <c r="C15" s="32"/>
      <c r="D15" s="146" t="str">
        <f>IFERROR(VLOOKUP(B15,Servidores!$A$54:$C$64,3,0),"")</f>
        <v/>
      </c>
      <c r="E15" s="38">
        <f t="shared" si="0"/>
        <v>0</v>
      </c>
    </row>
    <row r="16" spans="1:5" ht="16" x14ac:dyDescent="0.2">
      <c r="A16" s="234" t="s">
        <v>73</v>
      </c>
      <c r="B16" s="234"/>
      <c r="C16" s="234"/>
      <c r="D16" s="234"/>
      <c r="E16" s="39">
        <f>SUM(E6:E15)</f>
        <v>0</v>
      </c>
    </row>
  </sheetData>
  <sheetProtection sheet="1" objects="1" scenarios="1"/>
  <mergeCells count="4">
    <mergeCell ref="A4:E4"/>
    <mergeCell ref="A1:E1"/>
    <mergeCell ref="A2:E2"/>
    <mergeCell ref="A16:D16"/>
  </mergeCells>
  <pageMargins left="0.511811024" right="0.511811024" top="0.78740157499999996" bottom="0.78740157499999996" header="0.31496062000000002" footer="0.31496062000000002"/>
  <pageSetup paperSize="9" scale="73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FA5ACF70-F0A7-D54F-BB19-C2DD50BEAC66}">
          <x14:formula1>
            <xm:f>Servidores!$A$54:$A$65</xm:f>
          </x14:formula1>
          <xm:sqref>B11:B15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393B9-6B9F-E345-8B4C-5A2C2A2C92B2}">
  <sheetPr>
    <pageSetUpPr fitToPage="1"/>
  </sheetPr>
  <dimension ref="A1:C16"/>
  <sheetViews>
    <sheetView zoomScale="130" zoomScaleNormal="130" workbookViewId="0">
      <selection activeCell="A6" sqref="A6"/>
    </sheetView>
  </sheetViews>
  <sheetFormatPr baseColWidth="10" defaultColWidth="11.5" defaultRowHeight="15" x14ac:dyDescent="0.2"/>
  <cols>
    <col min="1" max="1" width="50.83203125" customWidth="1"/>
    <col min="2" max="2" width="100.83203125" customWidth="1"/>
    <col min="3" max="3" width="20.83203125" customWidth="1"/>
  </cols>
  <sheetData>
    <row r="1" spans="1:3" ht="16" x14ac:dyDescent="0.2">
      <c r="A1" s="231" t="s">
        <v>423</v>
      </c>
      <c r="B1" s="231"/>
      <c r="C1" s="231"/>
    </row>
    <row r="2" spans="1:3" ht="16" x14ac:dyDescent="0.2">
      <c r="A2" s="235" t="str">
        <f>'Custo do Curso'!B5</f>
        <v>Nome Projeto</v>
      </c>
      <c r="B2" s="236"/>
      <c r="C2" s="237"/>
    </row>
    <row r="3" spans="1:3" ht="16" x14ac:dyDescent="0.2">
      <c r="A3" s="109"/>
      <c r="B3" s="110"/>
      <c r="C3" s="111"/>
    </row>
    <row r="4" spans="1:3" ht="18" x14ac:dyDescent="0.2">
      <c r="A4" s="239" t="s">
        <v>420</v>
      </c>
      <c r="B4" s="239"/>
      <c r="C4" s="239"/>
    </row>
    <row r="5" spans="1:3" ht="17" x14ac:dyDescent="0.2">
      <c r="A5" s="30" t="s">
        <v>419</v>
      </c>
      <c r="B5" s="31" t="s">
        <v>124</v>
      </c>
      <c r="C5" s="31" t="s">
        <v>421</v>
      </c>
    </row>
    <row r="6" spans="1:3" x14ac:dyDescent="0.2">
      <c r="A6" s="32" t="s">
        <v>422</v>
      </c>
      <c r="B6" s="32" t="s">
        <v>268</v>
      </c>
      <c r="C6" s="40">
        <f>IFERROR(#REF!*#REF!,0)</f>
        <v>0</v>
      </c>
    </row>
    <row r="7" spans="1:3" x14ac:dyDescent="0.2">
      <c r="A7" s="32" t="s">
        <v>426</v>
      </c>
      <c r="B7" s="32" t="s">
        <v>268</v>
      </c>
      <c r="C7" s="40">
        <f>IFERROR(#REF!*#REF!,0)</f>
        <v>0</v>
      </c>
    </row>
    <row r="8" spans="1:3" x14ac:dyDescent="0.2">
      <c r="A8" s="32" t="s">
        <v>425</v>
      </c>
      <c r="B8" s="32" t="s">
        <v>268</v>
      </c>
      <c r="C8" s="40">
        <f>IFERROR(#REF!*#REF!,0)</f>
        <v>0</v>
      </c>
    </row>
    <row r="9" spans="1:3" x14ac:dyDescent="0.2">
      <c r="A9" s="32" t="s">
        <v>424</v>
      </c>
      <c r="B9" s="32" t="s">
        <v>268</v>
      </c>
      <c r="C9" s="40">
        <f>IFERROR(#REF!*#REF!,0)</f>
        <v>0</v>
      </c>
    </row>
    <row r="10" spans="1:3" x14ac:dyDescent="0.2">
      <c r="A10" s="32"/>
      <c r="B10" s="32"/>
      <c r="C10" s="40">
        <f>IFERROR(#REF!*#REF!,0)</f>
        <v>0</v>
      </c>
    </row>
    <row r="11" spans="1:3" x14ac:dyDescent="0.2">
      <c r="A11" s="32"/>
      <c r="B11" s="32"/>
      <c r="C11" s="40">
        <f>IFERROR(#REF!*#REF!,0)</f>
        <v>0</v>
      </c>
    </row>
    <row r="12" spans="1:3" x14ac:dyDescent="0.2">
      <c r="A12" s="32"/>
      <c r="B12" s="32"/>
      <c r="C12" s="40">
        <f>IFERROR(#REF!*#REF!,0)</f>
        <v>0</v>
      </c>
    </row>
    <row r="13" spans="1:3" x14ac:dyDescent="0.2">
      <c r="A13" s="32"/>
      <c r="B13" s="32"/>
      <c r="C13" s="40">
        <f>IFERROR(#REF!*#REF!,0)</f>
        <v>0</v>
      </c>
    </row>
    <row r="14" spans="1:3" x14ac:dyDescent="0.2">
      <c r="A14" s="32"/>
      <c r="B14" s="32"/>
      <c r="C14" s="40">
        <f>IFERROR(#REF!*#REF!,0)</f>
        <v>0</v>
      </c>
    </row>
    <row r="15" spans="1:3" x14ac:dyDescent="0.2">
      <c r="A15" s="32"/>
      <c r="B15" s="32"/>
      <c r="C15" s="40">
        <f>IFERROR(#REF!*#REF!,0)</f>
        <v>0</v>
      </c>
    </row>
    <row r="16" spans="1:3" ht="16" x14ac:dyDescent="0.2">
      <c r="A16" s="234" t="s">
        <v>73</v>
      </c>
      <c r="B16" s="234"/>
      <c r="C16" s="39">
        <f>SUM(C6:C15)</f>
        <v>0</v>
      </c>
    </row>
  </sheetData>
  <sheetProtection sheet="1" objects="1" scenarios="1"/>
  <mergeCells count="4">
    <mergeCell ref="A1:C1"/>
    <mergeCell ref="A2:C2"/>
    <mergeCell ref="A4:C4"/>
    <mergeCell ref="A16:B16"/>
  </mergeCells>
  <pageMargins left="0.511811024" right="0.511811024" top="0.78740157499999996" bottom="0.78740157499999996" header="0.31496062000000002" footer="0.31496062000000002"/>
  <pageSetup paperSize="9" scale="54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L17"/>
  <sheetViews>
    <sheetView zoomScale="130" zoomScaleNormal="130" workbookViewId="0">
      <selection activeCell="C5" sqref="C5"/>
    </sheetView>
  </sheetViews>
  <sheetFormatPr baseColWidth="10" defaultColWidth="8.83203125" defaultRowHeight="23" x14ac:dyDescent="0.25"/>
  <cols>
    <col min="1" max="1" width="9.1640625" style="61" customWidth="1"/>
    <col min="2" max="2" width="46.83203125" style="61" customWidth="1"/>
    <col min="3" max="3" width="31.1640625" style="61" customWidth="1"/>
    <col min="4" max="4" width="9.1640625" style="61" customWidth="1"/>
    <col min="5" max="5" width="15.83203125" style="61" customWidth="1"/>
    <col min="6" max="6" width="20.83203125" style="61" customWidth="1"/>
    <col min="7" max="15" width="9.1640625" style="61" customWidth="1"/>
    <col min="16" max="16" width="9.1640625" style="62" customWidth="1"/>
    <col min="17" max="1026" width="9.1640625" style="61" customWidth="1"/>
  </cols>
  <sheetData>
    <row r="1" spans="2:6" x14ac:dyDescent="0.25">
      <c r="B1" s="279" t="s">
        <v>417</v>
      </c>
      <c r="C1" s="279"/>
    </row>
    <row r="2" spans="2:6" x14ac:dyDescent="0.25">
      <c r="B2" s="279" t="str">
        <f>'Custo do Curso'!B5</f>
        <v>Nome Projeto</v>
      </c>
      <c r="C2" s="279"/>
    </row>
    <row r="3" spans="2:6" x14ac:dyDescent="0.25">
      <c r="E3" s="15" t="s">
        <v>248</v>
      </c>
      <c r="F3" s="106">
        <v>180</v>
      </c>
    </row>
    <row r="4" spans="2:6" x14ac:dyDescent="0.25">
      <c r="B4" s="101" t="s">
        <v>145</v>
      </c>
      <c r="C4" s="101" t="s">
        <v>146</v>
      </c>
      <c r="D4" s="102"/>
      <c r="E4" s="102" t="s">
        <v>445</v>
      </c>
    </row>
    <row r="5" spans="2:6" x14ac:dyDescent="0.25">
      <c r="B5" s="103" t="s">
        <v>147</v>
      </c>
      <c r="C5" s="104">
        <f>ROUNDUP(E5/F$3,2)</f>
        <v>124.33</v>
      </c>
      <c r="D5" s="102"/>
      <c r="E5" s="105">
        <v>22377.72</v>
      </c>
      <c r="F5" s="78" t="s">
        <v>244</v>
      </c>
    </row>
    <row r="6" spans="2:6" x14ac:dyDescent="0.25">
      <c r="B6" s="103" t="s">
        <v>148</v>
      </c>
      <c r="C6" s="104">
        <f>ROUNDUP(E6/F$3,2)</f>
        <v>56.08</v>
      </c>
      <c r="D6" s="102"/>
      <c r="E6" s="105">
        <v>10094.06</v>
      </c>
      <c r="F6" s="78" t="s">
        <v>245</v>
      </c>
    </row>
    <row r="7" spans="2:6" x14ac:dyDescent="0.25">
      <c r="B7" s="103" t="s">
        <v>149</v>
      </c>
      <c r="C7" s="104">
        <f>ROUNDUP(E7/F$3,2)</f>
        <v>37.809999999999995</v>
      </c>
      <c r="D7" s="102"/>
      <c r="E7" s="105">
        <v>6804.61</v>
      </c>
      <c r="F7" s="78" t="s">
        <v>246</v>
      </c>
    </row>
    <row r="8" spans="2:6" x14ac:dyDescent="0.25">
      <c r="B8" s="103" t="s">
        <v>150</v>
      </c>
      <c r="C8" s="104">
        <f>ROUNDUP(E8/F$3,2)</f>
        <v>31.290000000000003</v>
      </c>
      <c r="D8" s="102"/>
      <c r="E8" s="105">
        <v>5630.85</v>
      </c>
      <c r="F8" s="78" t="s">
        <v>247</v>
      </c>
    </row>
    <row r="9" spans="2:6" x14ac:dyDescent="0.25">
      <c r="B9" s="102"/>
      <c r="C9" s="102"/>
      <c r="D9" s="102"/>
      <c r="E9" s="102"/>
    </row>
    <row r="10" spans="2:6" x14ac:dyDescent="0.25">
      <c r="B10" s="101" t="s">
        <v>151</v>
      </c>
      <c r="C10" s="283">
        <v>1071.67</v>
      </c>
      <c r="D10" s="102"/>
      <c r="E10" s="102"/>
    </row>
    <row r="11" spans="2:6" x14ac:dyDescent="0.25">
      <c r="B11" s="102"/>
      <c r="C11" s="102"/>
      <c r="D11" s="102"/>
      <c r="E11" s="102"/>
    </row>
    <row r="12" spans="2:6" x14ac:dyDescent="0.25">
      <c r="B12" s="102"/>
      <c r="C12" s="102"/>
      <c r="D12" s="102"/>
      <c r="E12" s="102"/>
    </row>
    <row r="13" spans="2:6" x14ac:dyDescent="0.25">
      <c r="B13" s="278" t="s">
        <v>251</v>
      </c>
      <c r="C13" s="278"/>
      <c r="D13" s="102"/>
      <c r="E13" s="102"/>
    </row>
    <row r="14" spans="2:6" x14ac:dyDescent="0.25">
      <c r="B14" s="114" t="s">
        <v>152</v>
      </c>
      <c r="C14" s="114" t="s">
        <v>153</v>
      </c>
      <c r="D14" s="102"/>
      <c r="E14" s="102"/>
    </row>
    <row r="15" spans="2:6" x14ac:dyDescent="0.25">
      <c r="B15" s="103" t="s">
        <v>154</v>
      </c>
      <c r="C15" s="104">
        <v>787.98</v>
      </c>
      <c r="D15" s="102"/>
      <c r="E15" s="102"/>
    </row>
    <row r="16" spans="2:6" x14ac:dyDescent="0.25">
      <c r="B16" s="103" t="s">
        <v>155</v>
      </c>
      <c r="C16" s="104">
        <v>1125.69</v>
      </c>
      <c r="D16" s="102"/>
      <c r="E16" s="102"/>
    </row>
    <row r="17" spans="2:5" x14ac:dyDescent="0.25">
      <c r="B17" s="103" t="s">
        <v>156</v>
      </c>
      <c r="C17" s="104">
        <v>10</v>
      </c>
      <c r="D17" s="102"/>
      <c r="E17" s="102"/>
    </row>
  </sheetData>
  <sheetProtection sheet="1" objects="1" scenarios="1"/>
  <mergeCells count="3">
    <mergeCell ref="B13:C13"/>
    <mergeCell ref="B1:C1"/>
    <mergeCell ref="B2:C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2343-9E43-1248-B3B3-7A3BDD4C385E}">
  <dimension ref="B1:D53"/>
  <sheetViews>
    <sheetView workbookViewId="0">
      <selection activeCell="C5" sqref="C5"/>
    </sheetView>
  </sheetViews>
  <sheetFormatPr baseColWidth="10" defaultColWidth="10.83203125" defaultRowHeight="15" x14ac:dyDescent="0.2"/>
  <cols>
    <col min="1" max="1" width="3.83203125" customWidth="1"/>
    <col min="2" max="2" width="10.83203125" style="97"/>
    <col min="3" max="3" width="60.83203125" customWidth="1"/>
    <col min="4" max="4" width="100.83203125" style="86" customWidth="1"/>
  </cols>
  <sheetData>
    <row r="1" spans="2:4" ht="16" x14ac:dyDescent="0.2">
      <c r="B1" s="280" t="s">
        <v>415</v>
      </c>
      <c r="C1" s="280"/>
      <c r="D1" s="280"/>
    </row>
    <row r="2" spans="2:4" ht="16" x14ac:dyDescent="0.2">
      <c r="B2" s="280" t="str">
        <f>'Custo do Curso'!B5</f>
        <v>Nome Projeto</v>
      </c>
      <c r="C2" s="280"/>
      <c r="D2" s="280"/>
    </row>
    <row r="4" spans="2:4" ht="16" x14ac:dyDescent="0.2">
      <c r="B4" s="76" t="s">
        <v>241</v>
      </c>
      <c r="C4" s="98" t="s">
        <v>242</v>
      </c>
      <c r="D4" s="99" t="s">
        <v>243</v>
      </c>
    </row>
    <row r="5" spans="2:4" ht="45" x14ac:dyDescent="0.2">
      <c r="B5" s="77">
        <v>2</v>
      </c>
      <c r="C5" s="85" t="s">
        <v>284</v>
      </c>
      <c r="D5" s="100" t="s">
        <v>352</v>
      </c>
    </row>
    <row r="6" spans="2:4" ht="90" x14ac:dyDescent="0.2">
      <c r="B6" s="77">
        <v>4</v>
      </c>
      <c r="C6" s="85" t="s">
        <v>306</v>
      </c>
      <c r="D6" s="100" t="s">
        <v>353</v>
      </c>
    </row>
    <row r="7" spans="2:4" ht="75" x14ac:dyDescent="0.2">
      <c r="B7" s="84">
        <v>6</v>
      </c>
      <c r="C7" s="85" t="s">
        <v>307</v>
      </c>
      <c r="D7" s="100" t="s">
        <v>354</v>
      </c>
    </row>
    <row r="8" spans="2:4" ht="135" x14ac:dyDescent="0.2">
      <c r="B8" s="84">
        <v>8</v>
      </c>
      <c r="C8" s="85" t="s">
        <v>308</v>
      </c>
      <c r="D8" s="100" t="s">
        <v>355</v>
      </c>
    </row>
    <row r="9" spans="2:4" ht="75" x14ac:dyDescent="0.2">
      <c r="B9" s="84">
        <v>10</v>
      </c>
      <c r="C9" s="85" t="s">
        <v>309</v>
      </c>
      <c r="D9" s="100" t="s">
        <v>356</v>
      </c>
    </row>
    <row r="10" spans="2:4" ht="105" x14ac:dyDescent="0.2">
      <c r="B10" s="84">
        <v>12</v>
      </c>
      <c r="C10" s="85" t="s">
        <v>310</v>
      </c>
      <c r="D10" s="100" t="s">
        <v>357</v>
      </c>
    </row>
    <row r="11" spans="2:4" ht="60" x14ac:dyDescent="0.2">
      <c r="B11" s="84" t="s">
        <v>285</v>
      </c>
      <c r="C11" s="85" t="s">
        <v>286</v>
      </c>
      <c r="D11" s="100" t="s">
        <v>358</v>
      </c>
    </row>
    <row r="12" spans="2:4" ht="75" x14ac:dyDescent="0.2">
      <c r="B12" s="84">
        <v>18</v>
      </c>
      <c r="C12" s="85" t="s">
        <v>311</v>
      </c>
      <c r="D12" s="100" t="s">
        <v>359</v>
      </c>
    </row>
    <row r="13" spans="2:4" ht="45" x14ac:dyDescent="0.2">
      <c r="B13" s="84">
        <v>19</v>
      </c>
      <c r="C13" s="85" t="s">
        <v>287</v>
      </c>
      <c r="D13" s="100" t="s">
        <v>360</v>
      </c>
    </row>
    <row r="14" spans="2:4" ht="45" x14ac:dyDescent="0.2">
      <c r="B14" s="84" t="s">
        <v>288</v>
      </c>
      <c r="C14" s="85" t="s">
        <v>312</v>
      </c>
      <c r="D14" s="100" t="s">
        <v>361</v>
      </c>
    </row>
    <row r="15" spans="2:4" ht="60" x14ac:dyDescent="0.2">
      <c r="B15" s="84">
        <v>22</v>
      </c>
      <c r="C15" s="85" t="s">
        <v>289</v>
      </c>
      <c r="D15" s="100" t="s">
        <v>362</v>
      </c>
    </row>
    <row r="16" spans="2:4" ht="90" x14ac:dyDescent="0.2">
      <c r="B16" s="84">
        <v>24</v>
      </c>
      <c r="C16" s="85" t="s">
        <v>313</v>
      </c>
      <c r="D16" s="100" t="s">
        <v>363</v>
      </c>
    </row>
    <row r="17" spans="2:4" ht="45" x14ac:dyDescent="0.2">
      <c r="B17" s="84" t="s">
        <v>290</v>
      </c>
      <c r="C17" s="85" t="s">
        <v>314</v>
      </c>
      <c r="D17" s="100" t="s">
        <v>364</v>
      </c>
    </row>
    <row r="18" spans="2:4" ht="60" x14ac:dyDescent="0.2">
      <c r="B18" s="84">
        <v>28</v>
      </c>
      <c r="C18" s="85" t="s">
        <v>315</v>
      </c>
      <c r="D18" s="100" t="s">
        <v>365</v>
      </c>
    </row>
    <row r="19" spans="2:4" ht="75" x14ac:dyDescent="0.2">
      <c r="B19" s="84">
        <v>30</v>
      </c>
      <c r="C19" s="85" t="s">
        <v>316</v>
      </c>
      <c r="D19" s="100" t="s">
        <v>366</v>
      </c>
    </row>
    <row r="20" spans="2:4" ht="75" x14ac:dyDescent="0.2">
      <c r="B20" s="84">
        <v>32</v>
      </c>
      <c r="C20" s="85" t="s">
        <v>317</v>
      </c>
      <c r="D20" s="100" t="s">
        <v>367</v>
      </c>
    </row>
    <row r="21" spans="2:4" ht="90" x14ac:dyDescent="0.2">
      <c r="B21" s="84">
        <v>33</v>
      </c>
      <c r="C21" s="85" t="s">
        <v>291</v>
      </c>
      <c r="D21" s="100" t="s">
        <v>368</v>
      </c>
    </row>
    <row r="22" spans="2:4" ht="45" x14ac:dyDescent="0.2">
      <c r="B22" s="77">
        <v>34</v>
      </c>
      <c r="C22" s="75" t="s">
        <v>318</v>
      </c>
      <c r="D22" s="100" t="s">
        <v>319</v>
      </c>
    </row>
    <row r="23" spans="2:4" ht="120" x14ac:dyDescent="0.2">
      <c r="B23" s="84">
        <v>35</v>
      </c>
      <c r="C23" s="85" t="s">
        <v>292</v>
      </c>
      <c r="D23" s="100" t="s">
        <v>369</v>
      </c>
    </row>
    <row r="24" spans="2:4" ht="90" x14ac:dyDescent="0.2">
      <c r="B24" s="84">
        <v>36</v>
      </c>
      <c r="C24" s="85" t="s">
        <v>320</v>
      </c>
      <c r="D24" s="100" t="s">
        <v>370</v>
      </c>
    </row>
    <row r="25" spans="2:4" ht="45" x14ac:dyDescent="0.2">
      <c r="B25" s="77">
        <v>37</v>
      </c>
      <c r="C25" s="75" t="s">
        <v>293</v>
      </c>
      <c r="D25" s="100" t="s">
        <v>294</v>
      </c>
    </row>
    <row r="26" spans="2:4" ht="150" x14ac:dyDescent="0.2">
      <c r="B26" s="84">
        <v>38</v>
      </c>
      <c r="C26" s="85" t="s">
        <v>321</v>
      </c>
      <c r="D26" s="100" t="s">
        <v>371</v>
      </c>
    </row>
    <row r="27" spans="2:4" ht="75" x14ac:dyDescent="0.2">
      <c r="B27" s="84">
        <v>39</v>
      </c>
      <c r="C27" s="85" t="s">
        <v>322</v>
      </c>
      <c r="D27" s="100" t="s">
        <v>372</v>
      </c>
    </row>
    <row r="28" spans="2:4" ht="105" x14ac:dyDescent="0.2">
      <c r="B28" s="84">
        <v>40</v>
      </c>
      <c r="C28" s="85" t="s">
        <v>323</v>
      </c>
      <c r="D28" s="100" t="s">
        <v>373</v>
      </c>
    </row>
    <row r="29" spans="2:4" ht="45" x14ac:dyDescent="0.2">
      <c r="B29" s="84">
        <v>41</v>
      </c>
      <c r="C29" s="85" t="s">
        <v>295</v>
      </c>
      <c r="D29" s="100" t="s">
        <v>374</v>
      </c>
    </row>
    <row r="30" spans="2:4" ht="105" x14ac:dyDescent="0.2">
      <c r="B30" s="84">
        <v>42</v>
      </c>
      <c r="C30" s="85" t="s">
        <v>324</v>
      </c>
      <c r="D30" s="100" t="s">
        <v>375</v>
      </c>
    </row>
    <row r="31" spans="2:4" ht="30" x14ac:dyDescent="0.2">
      <c r="B31" s="77">
        <v>43</v>
      </c>
      <c r="C31" s="75" t="s">
        <v>296</v>
      </c>
      <c r="D31" s="100" t="s">
        <v>325</v>
      </c>
    </row>
    <row r="32" spans="2:4" ht="75" x14ac:dyDescent="0.2">
      <c r="B32" s="84">
        <v>44</v>
      </c>
      <c r="C32" s="85" t="s">
        <v>326</v>
      </c>
      <c r="D32" s="100" t="s">
        <v>376</v>
      </c>
    </row>
    <row r="33" spans="2:4" ht="45" x14ac:dyDescent="0.2">
      <c r="B33" s="84">
        <v>45</v>
      </c>
      <c r="C33" s="85" t="s">
        <v>297</v>
      </c>
      <c r="D33" s="100" t="s">
        <v>377</v>
      </c>
    </row>
    <row r="34" spans="2:4" ht="60" x14ac:dyDescent="0.2">
      <c r="B34" s="84">
        <v>46</v>
      </c>
      <c r="C34" s="85" t="s">
        <v>298</v>
      </c>
      <c r="D34" s="100" t="s">
        <v>378</v>
      </c>
    </row>
    <row r="35" spans="2:4" ht="60" x14ac:dyDescent="0.2">
      <c r="B35" s="84">
        <v>47</v>
      </c>
      <c r="C35" s="85" t="s">
        <v>299</v>
      </c>
      <c r="D35" s="100" t="s">
        <v>379</v>
      </c>
    </row>
    <row r="36" spans="2:4" ht="30" x14ac:dyDescent="0.2">
      <c r="B36" s="77">
        <v>48</v>
      </c>
      <c r="C36" s="75" t="s">
        <v>327</v>
      </c>
      <c r="D36" s="100" t="s">
        <v>328</v>
      </c>
    </row>
    <row r="37" spans="2:4" ht="30" x14ac:dyDescent="0.2">
      <c r="B37" s="77">
        <v>49</v>
      </c>
      <c r="C37" s="75" t="s">
        <v>300</v>
      </c>
      <c r="D37" s="100" t="s">
        <v>329</v>
      </c>
    </row>
    <row r="38" spans="2:4" ht="30" x14ac:dyDescent="0.2">
      <c r="B38" s="77">
        <v>50</v>
      </c>
      <c r="C38" s="75" t="s">
        <v>330</v>
      </c>
      <c r="D38" s="100" t="s">
        <v>380</v>
      </c>
    </row>
    <row r="39" spans="2:4" ht="45" x14ac:dyDescent="0.2">
      <c r="B39" s="77">
        <v>51</v>
      </c>
      <c r="C39" s="75" t="s">
        <v>331</v>
      </c>
      <c r="D39" s="100" t="s">
        <v>381</v>
      </c>
    </row>
    <row r="40" spans="2:4" ht="60" x14ac:dyDescent="0.2">
      <c r="B40" s="77">
        <v>52</v>
      </c>
      <c r="C40" s="75" t="s">
        <v>332</v>
      </c>
      <c r="D40" s="100" t="s">
        <v>382</v>
      </c>
    </row>
    <row r="41" spans="2:4" ht="30" x14ac:dyDescent="0.2">
      <c r="B41" s="77">
        <v>53</v>
      </c>
      <c r="C41" s="75" t="s">
        <v>301</v>
      </c>
      <c r="D41" s="100" t="s">
        <v>333</v>
      </c>
    </row>
    <row r="42" spans="2:4" ht="30" x14ac:dyDescent="0.2">
      <c r="B42" s="77">
        <v>54</v>
      </c>
      <c r="C42" s="75" t="s">
        <v>334</v>
      </c>
      <c r="D42" s="100" t="s">
        <v>335</v>
      </c>
    </row>
    <row r="43" spans="2:4" ht="30" x14ac:dyDescent="0.2">
      <c r="B43" s="77">
        <v>56</v>
      </c>
      <c r="C43" s="75" t="s">
        <v>336</v>
      </c>
      <c r="D43" s="100" t="s">
        <v>337</v>
      </c>
    </row>
    <row r="44" spans="2:4" ht="45" x14ac:dyDescent="0.2">
      <c r="B44" s="77">
        <v>57</v>
      </c>
      <c r="C44" s="75" t="s">
        <v>338</v>
      </c>
      <c r="D44" s="100" t="s">
        <v>383</v>
      </c>
    </row>
    <row r="45" spans="2:4" ht="30" x14ac:dyDescent="0.2">
      <c r="B45" s="77">
        <v>58</v>
      </c>
      <c r="C45" s="75" t="s">
        <v>302</v>
      </c>
      <c r="D45" s="100" t="s">
        <v>384</v>
      </c>
    </row>
    <row r="46" spans="2:4" ht="45" x14ac:dyDescent="0.2">
      <c r="B46" s="77">
        <v>60</v>
      </c>
      <c r="C46" s="75" t="s">
        <v>339</v>
      </c>
      <c r="D46" s="100" t="s">
        <v>385</v>
      </c>
    </row>
    <row r="47" spans="2:4" x14ac:dyDescent="0.2">
      <c r="B47" s="77">
        <v>83</v>
      </c>
      <c r="C47" s="75" t="s">
        <v>340</v>
      </c>
      <c r="D47" s="100" t="s">
        <v>341</v>
      </c>
    </row>
    <row r="48" spans="2:4" x14ac:dyDescent="0.2">
      <c r="B48" s="77">
        <v>84</v>
      </c>
      <c r="C48" s="75" t="s">
        <v>342</v>
      </c>
      <c r="D48" s="100" t="s">
        <v>343</v>
      </c>
    </row>
    <row r="49" spans="2:4" x14ac:dyDescent="0.2">
      <c r="B49" s="77">
        <v>87</v>
      </c>
      <c r="C49" s="75" t="s">
        <v>303</v>
      </c>
      <c r="D49" s="100" t="s">
        <v>344</v>
      </c>
    </row>
    <row r="50" spans="2:4" x14ac:dyDescent="0.2">
      <c r="B50" s="77">
        <v>89</v>
      </c>
      <c r="C50" s="75" t="s">
        <v>304</v>
      </c>
      <c r="D50" s="100" t="s">
        <v>345</v>
      </c>
    </row>
    <row r="51" spans="2:4" x14ac:dyDescent="0.2">
      <c r="B51" s="77">
        <v>90</v>
      </c>
      <c r="C51" s="75" t="s">
        <v>346</v>
      </c>
      <c r="D51" s="100" t="s">
        <v>347</v>
      </c>
    </row>
    <row r="52" spans="2:4" ht="30" x14ac:dyDescent="0.2">
      <c r="B52" s="77">
        <v>91</v>
      </c>
      <c r="C52" s="75" t="s">
        <v>348</v>
      </c>
      <c r="D52" s="100" t="s">
        <v>349</v>
      </c>
    </row>
    <row r="53" spans="2:4" ht="45" x14ac:dyDescent="0.2">
      <c r="B53" s="77">
        <v>96</v>
      </c>
      <c r="C53" s="75" t="s">
        <v>305</v>
      </c>
      <c r="D53" s="100" t="s">
        <v>350</v>
      </c>
    </row>
  </sheetData>
  <sheetProtection sheet="1" objects="1" scenarios="1"/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scale="50" orientation="portrait" horizontalDpi="0" verticalDpi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0"/>
  <sheetViews>
    <sheetView zoomScaleNormal="100" workbookViewId="0">
      <selection activeCell="B4" sqref="B4:C4"/>
    </sheetView>
  </sheetViews>
  <sheetFormatPr baseColWidth="10" defaultColWidth="8.83203125" defaultRowHeight="15" x14ac:dyDescent="0.2"/>
  <cols>
    <col min="1" max="1" width="2.5" style="43" customWidth="1"/>
    <col min="2" max="2" width="12" style="43" customWidth="1"/>
    <col min="3" max="3" width="43.6640625" style="43" customWidth="1"/>
    <col min="4" max="4" width="100.83203125" style="43" customWidth="1"/>
    <col min="5" max="1025" width="9.1640625" style="43" customWidth="1"/>
  </cols>
  <sheetData>
    <row r="1" spans="2:4" ht="16" x14ac:dyDescent="0.2">
      <c r="B1" s="282" t="s">
        <v>416</v>
      </c>
      <c r="C1" s="282"/>
      <c r="D1" s="282"/>
    </row>
    <row r="2" spans="2:4" ht="16" x14ac:dyDescent="0.2">
      <c r="B2" s="282" t="str">
        <f>'Custo do Curso'!B5</f>
        <v>Nome Projeto</v>
      </c>
      <c r="C2" s="282"/>
      <c r="D2" s="282"/>
    </row>
    <row r="4" spans="2:4" x14ac:dyDescent="0.2">
      <c r="B4" s="281" t="s">
        <v>16</v>
      </c>
      <c r="C4" s="281"/>
      <c r="D4" s="115" t="s">
        <v>157</v>
      </c>
    </row>
    <row r="5" spans="2:4" ht="75" x14ac:dyDescent="0.2">
      <c r="B5" s="63" t="s">
        <v>158</v>
      </c>
      <c r="C5" s="96" t="s">
        <v>159</v>
      </c>
      <c r="D5" s="64" t="s">
        <v>160</v>
      </c>
    </row>
    <row r="6" spans="2:4" ht="60" x14ac:dyDescent="0.2">
      <c r="B6" s="63" t="s">
        <v>161</v>
      </c>
      <c r="C6" s="96" t="s">
        <v>162</v>
      </c>
      <c r="D6" s="64" t="s">
        <v>163</v>
      </c>
    </row>
    <row r="7" spans="2:4" ht="60" x14ac:dyDescent="0.2">
      <c r="B7" s="63" t="s">
        <v>164</v>
      </c>
      <c r="C7" s="96" t="s">
        <v>165</v>
      </c>
      <c r="D7" s="64" t="s">
        <v>166</v>
      </c>
    </row>
    <row r="8" spans="2:4" ht="45" x14ac:dyDescent="0.2">
      <c r="B8" s="63" t="s">
        <v>167</v>
      </c>
      <c r="C8" s="96" t="s">
        <v>168</v>
      </c>
      <c r="D8" s="64" t="s">
        <v>169</v>
      </c>
    </row>
    <row r="9" spans="2:4" ht="60" x14ac:dyDescent="0.2">
      <c r="B9" s="63" t="s">
        <v>170</v>
      </c>
      <c r="C9" s="96" t="s">
        <v>171</v>
      </c>
      <c r="D9" s="64" t="s">
        <v>172</v>
      </c>
    </row>
    <row r="10" spans="2:4" ht="75" x14ac:dyDescent="0.2">
      <c r="B10" s="63" t="s">
        <v>173</v>
      </c>
      <c r="C10" s="96" t="s">
        <v>174</v>
      </c>
      <c r="D10" s="64" t="s">
        <v>175</v>
      </c>
    </row>
    <row r="11" spans="2:4" ht="150" x14ac:dyDescent="0.2">
      <c r="B11" s="63" t="s">
        <v>176</v>
      </c>
      <c r="C11" s="96" t="s">
        <v>177</v>
      </c>
      <c r="D11" s="64" t="s">
        <v>178</v>
      </c>
    </row>
    <row r="12" spans="2:4" ht="60" x14ac:dyDescent="0.2">
      <c r="B12" s="63" t="s">
        <v>179</v>
      </c>
      <c r="C12" s="96" t="s">
        <v>180</v>
      </c>
      <c r="D12" s="64" t="s">
        <v>181</v>
      </c>
    </row>
    <row r="13" spans="2:4" ht="60" x14ac:dyDescent="0.2">
      <c r="B13" s="63" t="s">
        <v>182</v>
      </c>
      <c r="C13" s="96" t="s">
        <v>183</v>
      </c>
      <c r="D13" s="64" t="s">
        <v>184</v>
      </c>
    </row>
    <row r="14" spans="2:4" ht="75" x14ac:dyDescent="0.2">
      <c r="B14" s="63" t="s">
        <v>185</v>
      </c>
      <c r="C14" s="96" t="s">
        <v>186</v>
      </c>
      <c r="D14" s="64" t="s">
        <v>187</v>
      </c>
    </row>
    <row r="15" spans="2:4" ht="90" x14ac:dyDescent="0.2">
      <c r="B15" s="63" t="s">
        <v>188</v>
      </c>
      <c r="C15" s="96" t="s">
        <v>189</v>
      </c>
      <c r="D15" s="64" t="s">
        <v>190</v>
      </c>
    </row>
    <row r="16" spans="2:4" ht="120" x14ac:dyDescent="0.2">
      <c r="B16" s="63" t="s">
        <v>191</v>
      </c>
      <c r="C16" s="96" t="s">
        <v>192</v>
      </c>
      <c r="D16" s="64" t="s">
        <v>193</v>
      </c>
    </row>
    <row r="17" spans="2:4" ht="75" x14ac:dyDescent="0.2">
      <c r="B17" s="63" t="s">
        <v>194</v>
      </c>
      <c r="C17" s="96" t="s">
        <v>195</v>
      </c>
      <c r="D17" s="64" t="s">
        <v>196</v>
      </c>
    </row>
    <row r="18" spans="2:4" ht="90" x14ac:dyDescent="0.2">
      <c r="B18" s="63" t="s">
        <v>197</v>
      </c>
      <c r="C18" s="96" t="s">
        <v>198</v>
      </c>
      <c r="D18" s="64" t="s">
        <v>199</v>
      </c>
    </row>
    <row r="19" spans="2:4" ht="75" x14ac:dyDescent="0.2">
      <c r="B19" s="63" t="s">
        <v>200</v>
      </c>
      <c r="C19" s="96" t="s">
        <v>201</v>
      </c>
      <c r="D19" s="64" t="s">
        <v>202</v>
      </c>
    </row>
    <row r="20" spans="2:4" ht="45" x14ac:dyDescent="0.2">
      <c r="B20" s="63" t="s">
        <v>203</v>
      </c>
      <c r="C20" s="96" t="s">
        <v>204</v>
      </c>
      <c r="D20" s="64" t="s">
        <v>205</v>
      </c>
    </row>
    <row r="21" spans="2:4" ht="60" x14ac:dyDescent="0.2">
      <c r="B21" s="63" t="s">
        <v>206</v>
      </c>
      <c r="C21" s="96" t="s">
        <v>207</v>
      </c>
      <c r="D21" s="64" t="s">
        <v>208</v>
      </c>
    </row>
    <row r="22" spans="2:4" ht="75" x14ac:dyDescent="0.2">
      <c r="B22" s="63" t="s">
        <v>209</v>
      </c>
      <c r="C22" s="96" t="s">
        <v>210</v>
      </c>
      <c r="D22" s="64" t="s">
        <v>211</v>
      </c>
    </row>
    <row r="23" spans="2:4" ht="45" x14ac:dyDescent="0.2">
      <c r="B23" s="63" t="s">
        <v>212</v>
      </c>
      <c r="C23" s="96" t="s">
        <v>213</v>
      </c>
      <c r="D23" s="64" t="s">
        <v>214</v>
      </c>
    </row>
    <row r="24" spans="2:4" ht="105" x14ac:dyDescent="0.2">
      <c r="B24" s="63" t="s">
        <v>215</v>
      </c>
      <c r="C24" s="96" t="s">
        <v>216</v>
      </c>
      <c r="D24" s="64" t="s">
        <v>217</v>
      </c>
    </row>
    <row r="25" spans="2:4" ht="30" x14ac:dyDescent="0.2">
      <c r="B25" s="63" t="s">
        <v>218</v>
      </c>
      <c r="C25" s="96" t="s">
        <v>219</v>
      </c>
      <c r="D25" s="64" t="s">
        <v>220</v>
      </c>
    </row>
    <row r="26" spans="2:4" ht="30" x14ac:dyDescent="0.2">
      <c r="B26" s="63" t="s">
        <v>221</v>
      </c>
      <c r="C26" s="96" t="s">
        <v>222</v>
      </c>
      <c r="D26" s="64" t="s">
        <v>223</v>
      </c>
    </row>
    <row r="27" spans="2:4" ht="45" x14ac:dyDescent="0.2">
      <c r="B27" s="63" t="s">
        <v>224</v>
      </c>
      <c r="C27" s="96" t="s">
        <v>225</v>
      </c>
      <c r="D27" s="64" t="s">
        <v>226</v>
      </c>
    </row>
    <row r="28" spans="2:4" ht="30" x14ac:dyDescent="0.2">
      <c r="B28" s="63" t="s">
        <v>227</v>
      </c>
      <c r="C28" s="96" t="s">
        <v>228</v>
      </c>
      <c r="D28" s="64" t="s">
        <v>229</v>
      </c>
    </row>
    <row r="29" spans="2:4" ht="105" x14ac:dyDescent="0.2">
      <c r="B29" s="63" t="s">
        <v>230</v>
      </c>
      <c r="C29" s="96" t="s">
        <v>231</v>
      </c>
      <c r="D29" s="64" t="s">
        <v>232</v>
      </c>
    </row>
    <row r="30" spans="2:4" x14ac:dyDescent="0.2">
      <c r="B30" s="63">
        <v>339093</v>
      </c>
      <c r="C30" s="96" t="s">
        <v>440</v>
      </c>
      <c r="D30" s="64" t="s">
        <v>441</v>
      </c>
    </row>
  </sheetData>
  <sheetProtection sheet="1" objects="1" scenarios="1"/>
  <mergeCells count="3">
    <mergeCell ref="B4:C4"/>
    <mergeCell ref="B1:D1"/>
    <mergeCell ref="B2:D2"/>
  </mergeCells>
  <pageMargins left="0.51180555555555496" right="0.51180555555555496" top="0.78749999999999998" bottom="0.78749999999999998" header="0.51180555555555496" footer="0.51180555555555496"/>
  <pageSetup paperSize="9" scale="50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L64"/>
  <sheetViews>
    <sheetView topLeftCell="A43" zoomScale="130" zoomScaleNormal="130" workbookViewId="0">
      <selection activeCell="E51" sqref="E51"/>
    </sheetView>
  </sheetViews>
  <sheetFormatPr baseColWidth="10" defaultColWidth="8.83203125" defaultRowHeight="15" x14ac:dyDescent="0.2"/>
  <cols>
    <col min="1" max="1" width="58.33203125" style="2" customWidth="1"/>
    <col min="2" max="2" width="48.5" style="2" customWidth="1"/>
    <col min="3" max="3" width="14.83203125" style="2" customWidth="1"/>
    <col min="4" max="4" width="14.1640625" style="2" customWidth="1"/>
    <col min="5" max="5" width="17.83203125" style="140" customWidth="1"/>
    <col min="6" max="6" width="8.5" style="2" customWidth="1"/>
    <col min="7" max="7" width="109.6640625" style="2" customWidth="1"/>
    <col min="8" max="12" width="12.5" style="125" customWidth="1"/>
    <col min="13" max="13" width="9.6640625" style="125" customWidth="1"/>
    <col min="14" max="18" width="12.5" style="125" customWidth="1"/>
    <col min="19" max="257" width="12.5" style="126" customWidth="1"/>
    <col min="258" max="258" width="30.83203125" style="126" customWidth="1"/>
    <col min="259" max="259" width="12.83203125" style="126" customWidth="1"/>
    <col min="260" max="260" width="68.5" style="126" customWidth="1"/>
    <col min="261" max="261" width="18.5" style="126" customWidth="1"/>
    <col min="262" max="262" width="7.5" style="126" customWidth="1"/>
    <col min="263" max="263" width="17.5" style="126" customWidth="1"/>
    <col min="264" max="264" width="16.5" style="126" customWidth="1"/>
    <col min="265" max="513" width="12.5" style="126" customWidth="1"/>
    <col min="514" max="514" width="30.83203125" style="126" customWidth="1"/>
    <col min="515" max="515" width="12.83203125" style="126" customWidth="1"/>
    <col min="516" max="516" width="68.5" style="126" customWidth="1"/>
    <col min="517" max="517" width="18.5" style="126" customWidth="1"/>
    <col min="518" max="518" width="7.5" style="126" customWidth="1"/>
    <col min="519" max="519" width="17.5" style="126" customWidth="1"/>
    <col min="520" max="520" width="16.5" style="126" customWidth="1"/>
    <col min="521" max="769" width="12.5" style="126" customWidth="1"/>
    <col min="770" max="770" width="30.83203125" style="126" customWidth="1"/>
    <col min="771" max="771" width="12.83203125" style="126" customWidth="1"/>
    <col min="772" max="772" width="68.5" style="126" customWidth="1"/>
    <col min="773" max="773" width="18.5" style="126" customWidth="1"/>
    <col min="774" max="774" width="7.5" style="126" customWidth="1"/>
    <col min="775" max="775" width="17.5" style="126" customWidth="1"/>
    <col min="776" max="776" width="16.5" style="126" customWidth="1"/>
    <col min="777" max="1026" width="12.5" style="126" customWidth="1"/>
    <col min="1027" max="16384" width="8.83203125" style="127"/>
  </cols>
  <sheetData>
    <row r="2" spans="1:18" s="124" customFormat="1" ht="15.75" customHeight="1" x14ac:dyDescent="0.2">
      <c r="A2" s="231" t="s">
        <v>47</v>
      </c>
      <c r="B2" s="231"/>
      <c r="C2" s="231"/>
      <c r="D2" s="231"/>
      <c r="E2" s="231"/>
      <c r="F2" s="29"/>
      <c r="G2" s="29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</row>
    <row r="3" spans="1:18" s="124" customFormat="1" ht="16" x14ac:dyDescent="0.2">
      <c r="A3" s="235" t="str">
        <f>'Custo do Curso'!B5</f>
        <v>Nome Projeto</v>
      </c>
      <c r="B3" s="236"/>
      <c r="C3" s="236"/>
      <c r="D3" s="236"/>
      <c r="E3" s="237"/>
      <c r="F3" s="29"/>
      <c r="G3" s="29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1:18" x14ac:dyDescent="0.2">
      <c r="A4" s="232"/>
      <c r="B4" s="232"/>
      <c r="C4" s="232"/>
      <c r="D4" s="232"/>
      <c r="E4" s="232"/>
    </row>
    <row r="5" spans="1:18" s="124" customFormat="1" ht="18" x14ac:dyDescent="0.2">
      <c r="A5" s="233" t="s">
        <v>49</v>
      </c>
      <c r="B5" s="233"/>
      <c r="C5" s="233"/>
      <c r="D5" s="233"/>
      <c r="E5" s="233"/>
      <c r="F5" s="29"/>
      <c r="G5" s="29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</row>
    <row r="6" spans="1:18" s="130" customFormat="1" ht="51" x14ac:dyDescent="0.2">
      <c r="A6" s="30" t="s">
        <v>50</v>
      </c>
      <c r="B6" s="30" t="s">
        <v>51</v>
      </c>
      <c r="C6" s="31" t="s">
        <v>52</v>
      </c>
      <c r="D6" s="128" t="s">
        <v>53</v>
      </c>
      <c r="E6" s="31" t="s">
        <v>54</v>
      </c>
      <c r="F6" s="129"/>
      <c r="G6" s="129"/>
      <c r="H6" s="125" t="s">
        <v>388</v>
      </c>
      <c r="I6" s="125" t="s">
        <v>58</v>
      </c>
      <c r="J6" s="125" t="s">
        <v>59</v>
      </c>
      <c r="K6" s="125" t="s">
        <v>60</v>
      </c>
      <c r="L6" s="125" t="s">
        <v>61</v>
      </c>
      <c r="M6" s="125" t="s">
        <v>62</v>
      </c>
      <c r="N6" s="125" t="s">
        <v>63</v>
      </c>
      <c r="O6" s="125" t="s">
        <v>64</v>
      </c>
      <c r="P6" s="125" t="s">
        <v>65</v>
      </c>
      <c r="Q6" s="125" t="s">
        <v>66</v>
      </c>
      <c r="R6" s="125" t="s">
        <v>67</v>
      </c>
    </row>
    <row r="7" spans="1:18" ht="16" x14ac:dyDescent="0.2">
      <c r="A7" s="34" t="s">
        <v>234</v>
      </c>
      <c r="B7" s="34" t="s">
        <v>56</v>
      </c>
      <c r="C7" s="33">
        <v>72</v>
      </c>
      <c r="D7" s="131">
        <f>IFERROR(VLOOKUP(B7,$A$54:$C$64,3,0),"")</f>
        <v>248.66</v>
      </c>
      <c r="E7" s="132">
        <f t="shared" ref="E7:E45" si="0">IFERROR(C7*D7,0)</f>
        <v>17903.52</v>
      </c>
      <c r="F7" s="129" t="s">
        <v>48</v>
      </c>
      <c r="G7" s="133" t="s">
        <v>444</v>
      </c>
      <c r="H7" s="125">
        <f>IF(OR(B7=$A$54),E7,0)</f>
        <v>17903.52</v>
      </c>
      <c r="I7" s="125">
        <f>IF(OR(B7=$A$55),E7,0)</f>
        <v>0</v>
      </c>
      <c r="J7" s="125">
        <f>IF(OR(B7=$A$56),E7,0)</f>
        <v>0</v>
      </c>
      <c r="K7" s="125">
        <f>IF(OR(B7=$A$57),E7,0)</f>
        <v>0</v>
      </c>
      <c r="L7" s="125">
        <f>IF(OR(B7=$A$58),E7,0)</f>
        <v>0</v>
      </c>
      <c r="M7" s="125">
        <f>IF(OR(B7=$A$59),E7,0)</f>
        <v>0</v>
      </c>
      <c r="N7" s="125">
        <f>IF(OR(B7=$A$60),E7,0)</f>
        <v>0</v>
      </c>
      <c r="O7" s="125">
        <f>IF(OR(B7=$A$61),E7,0)</f>
        <v>0</v>
      </c>
      <c r="P7" s="125">
        <f>IF(OR(B7=$A$62),E7,0)</f>
        <v>0</v>
      </c>
      <c r="Q7" s="125">
        <f>IF(OR(B7=$A$63),E7,0)</f>
        <v>0</v>
      </c>
      <c r="R7" s="125">
        <f>IF(OR(B7=$A$64),E7,0)</f>
        <v>0</v>
      </c>
    </row>
    <row r="8" spans="1:18" ht="15" customHeight="1" x14ac:dyDescent="0.2">
      <c r="A8" s="34" t="s">
        <v>235</v>
      </c>
      <c r="B8" s="34" t="s">
        <v>55</v>
      </c>
      <c r="C8" s="33">
        <v>72</v>
      </c>
      <c r="D8" s="131">
        <f>IFERROR(VLOOKUP(B8,$A$54:$C$64,3,0),"")</f>
        <v>224.32</v>
      </c>
      <c r="E8" s="132">
        <f t="shared" si="0"/>
        <v>16151.039999999999</v>
      </c>
      <c r="G8" s="134" t="s">
        <v>238</v>
      </c>
      <c r="H8" s="125">
        <f>IF(OR(B8=$A$54),E8,0)</f>
        <v>0</v>
      </c>
      <c r="I8" s="125">
        <f>IF(OR(B8=$A$55),E8,0)</f>
        <v>16151.039999999999</v>
      </c>
      <c r="J8" s="125">
        <f>IF(OR(B8=$A$56),E8,0)</f>
        <v>0</v>
      </c>
      <c r="K8" s="125">
        <f>IF(OR(B8=$A$57),E8,0)</f>
        <v>0</v>
      </c>
      <c r="L8" s="125">
        <f>IF(OR(B8=$A$58),E8,0)</f>
        <v>0</v>
      </c>
      <c r="M8" s="125">
        <f>IF(OR(B8=$A$59),E8,0)</f>
        <v>0</v>
      </c>
      <c r="N8" s="125">
        <f>IF(OR(B8=$A$60),E8,0)</f>
        <v>0</v>
      </c>
      <c r="O8" s="125">
        <f>IF(OR(B8=$A$61),E8,0)</f>
        <v>0</v>
      </c>
      <c r="P8" s="125">
        <f>IF(OR(B8=$A$62),E8,0)</f>
        <v>0</v>
      </c>
      <c r="Q8" s="125">
        <f>IF(OR(B8=$A$63),E8,0)</f>
        <v>0</v>
      </c>
      <c r="R8" s="125">
        <f>IF(OR(B8=$A$64),E8,0)</f>
        <v>0</v>
      </c>
    </row>
    <row r="9" spans="1:18" ht="16" x14ac:dyDescent="0.2">
      <c r="A9" s="34" t="s">
        <v>68</v>
      </c>
      <c r="B9" s="34" t="s">
        <v>68</v>
      </c>
      <c r="C9" s="33">
        <v>72</v>
      </c>
      <c r="D9" s="131">
        <f>IFERROR(VLOOKUP(B9,$A$54:$C$64,3,0),"")</f>
        <v>151.24</v>
      </c>
      <c r="E9" s="132">
        <f t="shared" si="0"/>
        <v>10889.28</v>
      </c>
      <c r="F9" s="29"/>
      <c r="G9" s="133" t="s">
        <v>255</v>
      </c>
      <c r="H9" s="125">
        <f>IF(OR(B9=$A$54),E9,0)</f>
        <v>0</v>
      </c>
      <c r="I9" s="125">
        <f>IF(OR(B9=$A$55),E9,0)</f>
        <v>0</v>
      </c>
      <c r="J9" s="125">
        <f>IF(OR(B9=$A$56),E9,0)</f>
        <v>10889.28</v>
      </c>
      <c r="K9" s="125">
        <f>IF(OR(B9=$A$57),E9,0)</f>
        <v>0</v>
      </c>
      <c r="L9" s="125">
        <f>IF(OR(B9=$A$58),E9,0)</f>
        <v>0</v>
      </c>
      <c r="M9" s="125">
        <f>IF(OR(B9=$A$59),E9,0)</f>
        <v>0</v>
      </c>
      <c r="N9" s="125">
        <f>IF(OR(B9=$A$60),E9,0)</f>
        <v>0</v>
      </c>
      <c r="O9" s="125">
        <f>IF(OR(B9=$A$61),E9,0)</f>
        <v>0</v>
      </c>
      <c r="P9" s="125">
        <f>IF(OR(B9=$A$62),E9,0)</f>
        <v>0</v>
      </c>
      <c r="Q9" s="125">
        <f>IF(OR(B9=$A$63),E9,0)</f>
        <v>0</v>
      </c>
      <c r="R9" s="125">
        <f>IF(OR(B9=$A$64),E9,0)</f>
        <v>0</v>
      </c>
    </row>
    <row r="10" spans="1:18" ht="16" x14ac:dyDescent="0.2">
      <c r="A10" s="34" t="s">
        <v>236</v>
      </c>
      <c r="B10" s="34" t="s">
        <v>56</v>
      </c>
      <c r="C10" s="33">
        <v>24</v>
      </c>
      <c r="D10" s="131">
        <f>IFERROR(VLOOKUP(B10,$A$54:$C$64,3,0),"")</f>
        <v>248.66</v>
      </c>
      <c r="E10" s="132">
        <f t="shared" si="0"/>
        <v>5967.84</v>
      </c>
      <c r="F10" s="129"/>
      <c r="G10" s="133" t="s">
        <v>256</v>
      </c>
      <c r="H10" s="125">
        <f>IF(OR(B10=$A$54),E10,0)</f>
        <v>5967.84</v>
      </c>
      <c r="I10" s="125">
        <f>IF(OR(B10=$A$55),E10,0)</f>
        <v>0</v>
      </c>
      <c r="J10" s="125">
        <f>IF(OR(B10=$A$56),E10,0)</f>
        <v>0</v>
      </c>
      <c r="K10" s="125">
        <f>IF(OR(B10=$A$57),E10,0)</f>
        <v>0</v>
      </c>
      <c r="L10" s="125">
        <f>IF(OR(B10=$A$58),E10,0)</f>
        <v>0</v>
      </c>
      <c r="M10" s="125">
        <f>IF(OR(B10=$A$59),E10,0)</f>
        <v>0</v>
      </c>
      <c r="N10" s="125">
        <f>IF(OR(B10=$A$60),E10,0)</f>
        <v>0</v>
      </c>
      <c r="O10" s="125">
        <f>IF(OR(B10=$A$61),E10,0)</f>
        <v>0</v>
      </c>
      <c r="P10" s="125">
        <f>IF(OR(B10=$A$62),E10,0)</f>
        <v>0</v>
      </c>
      <c r="Q10" s="125">
        <f>IF(OR(B10=$A$63),E10,0)</f>
        <v>0</v>
      </c>
      <c r="R10" s="125">
        <f>IF(OR(B10=$A$64),E10,0)</f>
        <v>0</v>
      </c>
    </row>
    <row r="11" spans="1:18" ht="16" x14ac:dyDescent="0.2">
      <c r="A11" s="34" t="s">
        <v>72</v>
      </c>
      <c r="B11" s="34" t="s">
        <v>72</v>
      </c>
      <c r="C11" s="33">
        <v>50</v>
      </c>
      <c r="D11" s="131">
        <f>IFERROR(VLOOKUP(B11,$A$54:$C$64,3,0),"")</f>
        <v>497.32</v>
      </c>
      <c r="E11" s="132">
        <f t="shared" si="0"/>
        <v>24866</v>
      </c>
      <c r="G11" s="135" t="s">
        <v>252</v>
      </c>
      <c r="H11" s="125">
        <f>IF(OR(B11=$A$54),E11,0)</f>
        <v>0</v>
      </c>
      <c r="I11" s="125">
        <f>IF(OR(B11=$A$55),E11,0)</f>
        <v>0</v>
      </c>
      <c r="J11" s="125">
        <f>IF(OR(B11=$A$56),E11,0)</f>
        <v>0</v>
      </c>
      <c r="K11" s="125">
        <f>IF(OR(B11=$A$57),E11,0)</f>
        <v>0</v>
      </c>
      <c r="L11" s="125">
        <f>IF(OR(B11=$A$58),E11,0)</f>
        <v>0</v>
      </c>
      <c r="M11" s="125">
        <f>IF(OR(B11=$A$59),E11,0)</f>
        <v>0</v>
      </c>
      <c r="N11" s="125">
        <f>IF(OR(B11=$A$60),E11,0)</f>
        <v>0</v>
      </c>
      <c r="O11" s="125">
        <f>IF(OR(B11=$A$61),E11,0)</f>
        <v>24866</v>
      </c>
      <c r="P11" s="125">
        <f>IF(OR(B11=$A$62),E11,0)</f>
        <v>0</v>
      </c>
      <c r="Q11" s="125">
        <f>IF(OR(B11=$A$63),E11,0)</f>
        <v>0</v>
      </c>
      <c r="R11" s="125">
        <f>IF(OR(B11=$A$64),E11,0)</f>
        <v>0</v>
      </c>
    </row>
    <row r="12" spans="1:18" ht="31" x14ac:dyDescent="0.2">
      <c r="A12" s="34" t="s">
        <v>76</v>
      </c>
      <c r="B12" s="34" t="s">
        <v>76</v>
      </c>
      <c r="C12" s="33">
        <v>100</v>
      </c>
      <c r="D12" s="131">
        <f>IFERROR(VLOOKUP(B12,$A$54:$C$64,3,0),"")</f>
        <v>372.99</v>
      </c>
      <c r="E12" s="132">
        <f t="shared" si="0"/>
        <v>37299</v>
      </c>
      <c r="G12" s="135" t="s">
        <v>402</v>
      </c>
      <c r="H12" s="125">
        <f>IF(OR(B12=$A$54),E12,0)</f>
        <v>0</v>
      </c>
      <c r="I12" s="125">
        <f>IF(OR(B12=$A$55),E12,0)</f>
        <v>0</v>
      </c>
      <c r="J12" s="125">
        <f>IF(OR(B12=$A$56),E12,0)</f>
        <v>0</v>
      </c>
      <c r="K12" s="125">
        <f>IF(OR(B12=$A$57),E12,0)</f>
        <v>0</v>
      </c>
      <c r="L12" s="125">
        <f>IF(OR(B12=$A$58),E12,0)</f>
        <v>0</v>
      </c>
      <c r="M12" s="125">
        <f>IF(OR(B12=$A$59),E12,0)</f>
        <v>0</v>
      </c>
      <c r="N12" s="125">
        <f>IF(OR(B12=$A$60),E12,0)</f>
        <v>0</v>
      </c>
      <c r="O12" s="125">
        <f>IF(OR(B12=$A$61),E12,0)</f>
        <v>0</v>
      </c>
      <c r="P12" s="125">
        <f>IF(OR(B12=$A$62),E12,0)</f>
        <v>37299</v>
      </c>
      <c r="Q12" s="125">
        <f>IF(OR(B12=$A$63),E12,0)</f>
        <v>0</v>
      </c>
      <c r="R12" s="125">
        <f>IF(OR(B12=$A$64),E12,0)</f>
        <v>0</v>
      </c>
    </row>
    <row r="13" spans="1:18" ht="31" x14ac:dyDescent="0.2">
      <c r="A13" s="34" t="s">
        <v>130</v>
      </c>
      <c r="B13" s="34" t="s">
        <v>69</v>
      </c>
      <c r="C13" s="33">
        <v>24</v>
      </c>
      <c r="D13" s="131">
        <f>IFERROR(VLOOKUP(B13,$A$54:$C$64,3,0),"")</f>
        <v>1071.67</v>
      </c>
      <c r="E13" s="132">
        <f t="shared" si="0"/>
        <v>25720.080000000002</v>
      </c>
      <c r="G13" s="136" t="s">
        <v>240</v>
      </c>
      <c r="H13" s="125">
        <f>IF(OR(B13=$A$54),E13,0)</f>
        <v>0</v>
      </c>
      <c r="I13" s="125">
        <f>IF(OR(B13=$A$55),E13,0)</f>
        <v>0</v>
      </c>
      <c r="J13" s="125">
        <f>IF(OR(B13=$A$56),E13,0)</f>
        <v>0</v>
      </c>
      <c r="K13" s="125">
        <f>IF(OR(B13=$A$57),E13,0)</f>
        <v>0</v>
      </c>
      <c r="L13" s="125">
        <f>IF(OR(B13=$A$58),E13,0)</f>
        <v>25720.080000000002</v>
      </c>
      <c r="M13" s="125">
        <f>IF(OR(B13=$A$59),E13,0)</f>
        <v>0</v>
      </c>
      <c r="N13" s="125">
        <f>IF(OR(B13=$A$60),E13,0)</f>
        <v>0</v>
      </c>
      <c r="O13" s="125">
        <f>IF(OR(B13=$A$61),E13,0)</f>
        <v>0</v>
      </c>
      <c r="P13" s="125">
        <f>IF(OR(B13=$A$62),E13,0)</f>
        <v>0</v>
      </c>
      <c r="Q13" s="125">
        <f>IF(OR(B13=$A$63),E13,0)</f>
        <v>0</v>
      </c>
      <c r="R13" s="125">
        <f>IF(OR(B13=$A$64),E13,0)</f>
        <v>0</v>
      </c>
    </row>
    <row r="14" spans="1:18" x14ac:dyDescent="0.2">
      <c r="A14" s="34" t="s">
        <v>237</v>
      </c>
      <c r="B14" s="34" t="s">
        <v>70</v>
      </c>
      <c r="C14" s="33">
        <v>24</v>
      </c>
      <c r="D14" s="131">
        <f>IFERROR(VLOOKUP(B14,$A$54:$C$64,3,0),"")</f>
        <v>1071.67</v>
      </c>
      <c r="E14" s="132">
        <f t="shared" si="0"/>
        <v>25720.080000000002</v>
      </c>
      <c r="G14" s="137" t="s">
        <v>239</v>
      </c>
      <c r="H14" s="125">
        <f>IF(OR(B14=$A$54),E14,0)</f>
        <v>0</v>
      </c>
      <c r="I14" s="125">
        <f>IF(OR(B14=$A$55),E14,0)</f>
        <v>0</v>
      </c>
      <c r="J14" s="125">
        <f>IF(OR(B14=$A$56),E14,0)</f>
        <v>0</v>
      </c>
      <c r="K14" s="125">
        <f>IF(OR(B14=$A$57),E14,0)</f>
        <v>0</v>
      </c>
      <c r="L14" s="125">
        <f>IF(OR(B14=$A$58),E14,0)</f>
        <v>0</v>
      </c>
      <c r="M14" s="125">
        <f>IF(OR(B14=$A$59),E14,0)</f>
        <v>25720.080000000002</v>
      </c>
      <c r="N14" s="125">
        <f>IF(OR(B14=$A$60),E14,0)</f>
        <v>0</v>
      </c>
      <c r="O14" s="125">
        <f>IF(OR(B14=$A$61),E14,0)</f>
        <v>0</v>
      </c>
      <c r="P14" s="125">
        <f>IF(OR(B14=$A$62),E14,0)</f>
        <v>0</v>
      </c>
      <c r="Q14" s="125">
        <f>IF(OR(B14=$A$63),E14,0)</f>
        <v>0</v>
      </c>
      <c r="R14" s="125">
        <f>IF(OR(B14=$A$64),E14,0)</f>
        <v>0</v>
      </c>
    </row>
    <row r="15" spans="1:18" ht="31" x14ac:dyDescent="0.2">
      <c r="A15" s="32" t="s">
        <v>253</v>
      </c>
      <c r="B15" s="32" t="s">
        <v>71</v>
      </c>
      <c r="C15" s="33">
        <v>24</v>
      </c>
      <c r="D15" s="131">
        <f>IFERROR(VLOOKUP(B15,$A$54:$C$64,3,0),"")</f>
        <v>1071.67</v>
      </c>
      <c r="E15" s="132">
        <f t="shared" si="0"/>
        <v>25720.080000000002</v>
      </c>
      <c r="G15" s="135" t="s">
        <v>57</v>
      </c>
      <c r="H15" s="125">
        <f>IF(OR(B15=$A$54),E15,0)</f>
        <v>0</v>
      </c>
      <c r="I15" s="125">
        <f>IF(OR(B15=$A$55),E15,0)</f>
        <v>0</v>
      </c>
      <c r="J15" s="125">
        <f>IF(OR(B15=$A$56),E15,0)</f>
        <v>0</v>
      </c>
      <c r="K15" s="125">
        <f>IF(OR(B15=$A$57),E15,0)</f>
        <v>0</v>
      </c>
      <c r="L15" s="125">
        <f>IF(OR(B15=$A$58),E15,0)</f>
        <v>0</v>
      </c>
      <c r="M15" s="125">
        <f>IF(OR(B15=$A$59),E15,0)</f>
        <v>0</v>
      </c>
      <c r="N15" s="125">
        <f>IF(OR(B15=$A$60),E15,0)</f>
        <v>25720.080000000002</v>
      </c>
      <c r="O15" s="125">
        <f>IF(OR(B15=$A$61),E15,0)</f>
        <v>0</v>
      </c>
      <c r="P15" s="125">
        <f>IF(OR(B15=$A$62),E15,0)</f>
        <v>0</v>
      </c>
      <c r="Q15" s="125">
        <f>IF(OR(B15=$A$63),E15,0)</f>
        <v>0</v>
      </c>
      <c r="R15" s="125">
        <f>IF(OR(B15=$A$64),E15,0)</f>
        <v>0</v>
      </c>
    </row>
    <row r="16" spans="1:18" x14ac:dyDescent="0.2">
      <c r="A16" s="32" t="s">
        <v>254</v>
      </c>
      <c r="B16" s="32" t="s">
        <v>77</v>
      </c>
      <c r="C16" s="33">
        <v>24</v>
      </c>
      <c r="D16" s="131">
        <f>IFERROR(VLOOKUP(B16,$A$54:$C$64,3,0),"")</f>
        <v>1071.67</v>
      </c>
      <c r="E16" s="132">
        <f t="shared" si="0"/>
        <v>25720.080000000002</v>
      </c>
      <c r="G16" s="138">
        <f>IF(OR(B10=$A$54),E10,0)</f>
        <v>5967.84</v>
      </c>
      <c r="H16" s="125">
        <f>IF(OR(B16=$A$54),E16,0)</f>
        <v>0</v>
      </c>
      <c r="I16" s="125">
        <f>IF(OR(B16=$A$55),E16,0)</f>
        <v>0</v>
      </c>
      <c r="J16" s="125">
        <f>IF(OR(B16=$A$56),E16,0)</f>
        <v>0</v>
      </c>
      <c r="K16" s="125">
        <f>IF(OR(B16=$A$57),E16,0)</f>
        <v>0</v>
      </c>
      <c r="L16" s="125">
        <f>IF(OR(B16=$A$58),E16,0)</f>
        <v>0</v>
      </c>
      <c r="M16" s="125">
        <f>IF(OR(B16=$A$59),E16,0)</f>
        <v>0</v>
      </c>
      <c r="N16" s="125">
        <f>IF(OR(B16=$A$60),E16,0)</f>
        <v>0</v>
      </c>
      <c r="O16" s="125">
        <f>IF(OR(B16=$A$61),E16,0)</f>
        <v>0</v>
      </c>
      <c r="P16" s="125">
        <f>IF(OR(B16=$A$62),E16,0)</f>
        <v>0</v>
      </c>
      <c r="Q16" s="125">
        <f>IF(OR(B16=$A$63),E16,0)</f>
        <v>25720.080000000002</v>
      </c>
      <c r="R16" s="125">
        <f>IF(OR(B16=$A$64),E16,0)</f>
        <v>0</v>
      </c>
    </row>
    <row r="17" spans="1:18" x14ac:dyDescent="0.2">
      <c r="A17" s="32" t="s">
        <v>249</v>
      </c>
      <c r="B17" s="32" t="s">
        <v>78</v>
      </c>
      <c r="C17" s="33">
        <v>24</v>
      </c>
      <c r="D17" s="131">
        <f>IFERROR(VLOOKUP(B17,$A$54:$C$64,3,0),"")</f>
        <v>441.8</v>
      </c>
      <c r="E17" s="132">
        <f t="shared" si="0"/>
        <v>10603.2</v>
      </c>
      <c r="G17" s="138">
        <f>IF(OR(B11=$A$54),E11,0)</f>
        <v>0</v>
      </c>
      <c r="H17" s="125">
        <f>IF(OR(B17=$A$54),E17,0)</f>
        <v>0</v>
      </c>
      <c r="I17" s="125">
        <f>IF(OR(B17=$A$55),E17,0)</f>
        <v>0</v>
      </c>
      <c r="J17" s="125">
        <f>IF(OR(B17=$A$56),E17,0)</f>
        <v>0</v>
      </c>
      <c r="K17" s="125">
        <f>IF(OR(B17=$A$57),E17,0)</f>
        <v>0</v>
      </c>
      <c r="L17" s="125">
        <f>IF(OR(B17=$A$58),E17,0)</f>
        <v>0</v>
      </c>
      <c r="M17" s="125">
        <f>IF(OR(B17=$A$59),E17,0)</f>
        <v>0</v>
      </c>
      <c r="N17" s="125">
        <f>IF(OR(B17=$A$60),E17,0)</f>
        <v>0</v>
      </c>
      <c r="O17" s="125">
        <f>IF(OR(B17=$A$61),E17,0)</f>
        <v>0</v>
      </c>
      <c r="P17" s="125">
        <f>IF(OR(B17=$A$62),E17,0)</f>
        <v>0</v>
      </c>
      <c r="Q17" s="125">
        <f>IF(OR(B17=$A$63),E17,0)</f>
        <v>0</v>
      </c>
      <c r="R17" s="125">
        <f>IF(OR(B17=$A$64),E17,0)</f>
        <v>10603.2</v>
      </c>
    </row>
    <row r="18" spans="1:18" x14ac:dyDescent="0.2">
      <c r="A18" s="32" t="s">
        <v>250</v>
      </c>
      <c r="B18" s="32" t="s">
        <v>78</v>
      </c>
      <c r="C18" s="33">
        <v>24</v>
      </c>
      <c r="D18" s="131">
        <f>IFERROR(VLOOKUP(B18,$A$54:$C$64,3,0),"")</f>
        <v>441.8</v>
      </c>
      <c r="E18" s="132">
        <f t="shared" si="0"/>
        <v>10603.2</v>
      </c>
      <c r="G18" s="138">
        <f>IF(OR(B12=$A$54),E12,0)</f>
        <v>0</v>
      </c>
      <c r="H18" s="125">
        <f>IF(OR(B18=$A$54),E18,0)</f>
        <v>0</v>
      </c>
      <c r="I18" s="125">
        <f>IF(OR(B18=$A$55),E18,0)</f>
        <v>0</v>
      </c>
      <c r="J18" s="125">
        <f>IF(OR(B18=$A$56),E18,0)</f>
        <v>0</v>
      </c>
      <c r="K18" s="125">
        <f>IF(OR(B18=$A$57),E18,0)</f>
        <v>0</v>
      </c>
      <c r="L18" s="125">
        <f>IF(OR(B18=$A$58),E18,0)</f>
        <v>0</v>
      </c>
      <c r="M18" s="125">
        <f>IF(OR(B18=$A$59),E18,0)</f>
        <v>0</v>
      </c>
      <c r="N18" s="125">
        <f>IF(OR(B18=$A$60),E18,0)</f>
        <v>0</v>
      </c>
      <c r="O18" s="125">
        <f>IF(OR(B18=$A$61),E18,0)</f>
        <v>0</v>
      </c>
      <c r="P18" s="125">
        <f>IF(OR(B18=$A$62),E18,0)</f>
        <v>0</v>
      </c>
      <c r="Q18" s="125">
        <f>IF(OR(B18=$A$63),E18,0)</f>
        <v>0</v>
      </c>
      <c r="R18" s="125">
        <f>IF(OR(B18=$A$64),E18,0)</f>
        <v>10603.2</v>
      </c>
    </row>
    <row r="19" spans="1:18" x14ac:dyDescent="0.2">
      <c r="A19" s="32"/>
      <c r="B19" s="32"/>
      <c r="C19" s="33"/>
      <c r="D19" s="131" t="str">
        <f>IFERROR(VLOOKUP(B19,$A$54:$C$64,3,0),"")</f>
        <v/>
      </c>
      <c r="E19" s="132">
        <f t="shared" si="0"/>
        <v>0</v>
      </c>
      <c r="G19" s="138">
        <f>IF(OR(B13=$A$54),E13,0)</f>
        <v>0</v>
      </c>
      <c r="H19" s="125">
        <f>IF(OR(B19=$A$54),E19,0)</f>
        <v>0</v>
      </c>
      <c r="I19" s="125">
        <f>IF(OR(B19=$A$55),E19,0)</f>
        <v>0</v>
      </c>
      <c r="J19" s="125">
        <f>IF(OR(B19=$A$56),E19,0)</f>
        <v>0</v>
      </c>
      <c r="K19" s="125">
        <f>IF(OR(B19=$A$57),E19,0)</f>
        <v>0</v>
      </c>
      <c r="L19" s="125">
        <f>IF(OR(B19=$A$58),E19,0)</f>
        <v>0</v>
      </c>
      <c r="M19" s="125">
        <f>IF(OR(B19=$A$59),E19,0)</f>
        <v>0</v>
      </c>
      <c r="N19" s="125">
        <f>IF(OR(B19=$A$60),E19,0)</f>
        <v>0</v>
      </c>
      <c r="O19" s="125">
        <f>IF(OR(B19=$A$61),E19,0)</f>
        <v>0</v>
      </c>
      <c r="P19" s="125">
        <f>IF(OR(B19=$A$62),E19,0)</f>
        <v>0</v>
      </c>
      <c r="Q19" s="125">
        <f>IF(OR(B19=$A$63),E19,0)</f>
        <v>0</v>
      </c>
      <c r="R19" s="125">
        <f>IF(OR(B19=$A$64),E19,0)</f>
        <v>0</v>
      </c>
    </row>
    <row r="20" spans="1:18" x14ac:dyDescent="0.2">
      <c r="A20" s="32"/>
      <c r="B20" s="32"/>
      <c r="C20" s="33"/>
      <c r="D20" s="131" t="str">
        <f>IFERROR(VLOOKUP(B20,$A$54:$C$64,3,0),"")</f>
        <v/>
      </c>
      <c r="E20" s="132">
        <f t="shared" si="0"/>
        <v>0</v>
      </c>
      <c r="G20" s="138">
        <f>IF(OR(B14=$A$54),E14,0)</f>
        <v>0</v>
      </c>
      <c r="H20" s="125">
        <f>IF(OR(B20=$A$54),E20,0)</f>
        <v>0</v>
      </c>
      <c r="I20" s="125">
        <f>IF(OR(B20=$A$55),E20,0)</f>
        <v>0</v>
      </c>
      <c r="J20" s="125">
        <f>IF(OR(B20=$A$56),E20,0)</f>
        <v>0</v>
      </c>
      <c r="K20" s="125">
        <f>IF(OR(B20=$A$57),E20,0)</f>
        <v>0</v>
      </c>
      <c r="L20" s="125">
        <f>IF(OR(B20=$A$58),E20,0)</f>
        <v>0</v>
      </c>
      <c r="M20" s="125">
        <f>IF(OR(B20=$A$59),E20,0)</f>
        <v>0</v>
      </c>
      <c r="N20" s="125">
        <f>IF(OR(B20=$A$60),E20,0)</f>
        <v>0</v>
      </c>
      <c r="O20" s="125">
        <f>IF(OR(B20=$A$61),E20,0)</f>
        <v>0</v>
      </c>
      <c r="P20" s="125">
        <f>IF(OR(B20=$A$62),E20,0)</f>
        <v>0</v>
      </c>
      <c r="Q20" s="125">
        <f>IF(OR(B20=$A$63),E20,0)</f>
        <v>0</v>
      </c>
      <c r="R20" s="125">
        <f>IF(OR(B20=$A$64),E20,0)</f>
        <v>0</v>
      </c>
    </row>
    <row r="21" spans="1:18" x14ac:dyDescent="0.2">
      <c r="A21" s="32"/>
      <c r="B21" s="32"/>
      <c r="C21" s="33"/>
      <c r="D21" s="131" t="str">
        <f>IFERROR(VLOOKUP(B21,$A$54:$C$64,3,0),"")</f>
        <v/>
      </c>
      <c r="E21" s="132">
        <f t="shared" si="0"/>
        <v>0</v>
      </c>
      <c r="G21" s="138">
        <f>IF(OR(B15=$A$54),E15,0)</f>
        <v>0</v>
      </c>
      <c r="H21" s="125">
        <f>IF(OR(B21=$A$54),E21,0)</f>
        <v>0</v>
      </c>
      <c r="I21" s="125">
        <f>IF(OR(B21=$A$55),E21,0)</f>
        <v>0</v>
      </c>
      <c r="J21" s="125">
        <f>IF(OR(B21=$A$56),E21,0)</f>
        <v>0</v>
      </c>
      <c r="K21" s="125">
        <f>IF(OR(B21=$A$57),E21,0)</f>
        <v>0</v>
      </c>
      <c r="L21" s="125">
        <f>IF(OR(B21=$A$58),E21,0)</f>
        <v>0</v>
      </c>
      <c r="M21" s="125">
        <f>IF(OR(B21=$A$59),E21,0)</f>
        <v>0</v>
      </c>
      <c r="N21" s="125">
        <f>IF(OR(B21=$A$60),E21,0)</f>
        <v>0</v>
      </c>
      <c r="O21" s="125">
        <f>IF(OR(B21=$A$61),E21,0)</f>
        <v>0</v>
      </c>
      <c r="P21" s="125">
        <f>IF(OR(B21=$A$62),E21,0)</f>
        <v>0</v>
      </c>
      <c r="Q21" s="125">
        <f>IF(OR(B21=$A$63),E21,0)</f>
        <v>0</v>
      </c>
      <c r="R21" s="125">
        <f>IF(OR(B21=$A$64),E21,0)</f>
        <v>0</v>
      </c>
    </row>
    <row r="22" spans="1:18" x14ac:dyDescent="0.2">
      <c r="A22" s="32"/>
      <c r="B22" s="32"/>
      <c r="C22" s="33"/>
      <c r="D22" s="131" t="str">
        <f>IFERROR(VLOOKUP(B22,$A$54:$C$64,3,0),"")</f>
        <v/>
      </c>
      <c r="E22" s="132">
        <f t="shared" si="0"/>
        <v>0</v>
      </c>
      <c r="G22" s="138">
        <f>IF(OR(B16=$A$54),E16,0)</f>
        <v>0</v>
      </c>
      <c r="H22" s="125">
        <f>IF(OR(B22=$A$54),E22,0)</f>
        <v>0</v>
      </c>
      <c r="I22" s="125">
        <f>IF(OR(B22=$A$55),E22,0)</f>
        <v>0</v>
      </c>
      <c r="J22" s="125">
        <f>IF(OR(B22=$A$56),E22,0)</f>
        <v>0</v>
      </c>
      <c r="K22" s="125">
        <f>IF(OR(B22=$A$57),E22,0)</f>
        <v>0</v>
      </c>
      <c r="L22" s="125">
        <f>IF(OR(B22=$A$58),E22,0)</f>
        <v>0</v>
      </c>
      <c r="M22" s="125">
        <f>IF(OR(B22=$A$59),E22,0)</f>
        <v>0</v>
      </c>
      <c r="N22" s="125">
        <f>IF(OR(B22=$A$60),E22,0)</f>
        <v>0</v>
      </c>
      <c r="O22" s="125">
        <f>IF(OR(B22=$A$61),E22,0)</f>
        <v>0</v>
      </c>
      <c r="P22" s="125">
        <f>IF(OR(B22=$A$62),E22,0)</f>
        <v>0</v>
      </c>
      <c r="Q22" s="125">
        <f>IF(OR(B22=$A$63),E22,0)</f>
        <v>0</v>
      </c>
      <c r="R22" s="125">
        <f>IF(OR(B22=$A$64),E22,0)</f>
        <v>0</v>
      </c>
    </row>
    <row r="23" spans="1:18" x14ac:dyDescent="0.2">
      <c r="A23" s="32"/>
      <c r="B23" s="32"/>
      <c r="C23" s="33"/>
      <c r="D23" s="131" t="str">
        <f>IFERROR(VLOOKUP(B23,$A$54:$C$64,3,0),"")</f>
        <v/>
      </c>
      <c r="E23" s="132">
        <f t="shared" si="0"/>
        <v>0</v>
      </c>
      <c r="G23" s="138">
        <f>IF(OR(B17=$A$54),E17,0)</f>
        <v>0</v>
      </c>
      <c r="H23" s="125">
        <f>IF(OR(B23=$A$54),E23,0)</f>
        <v>0</v>
      </c>
      <c r="I23" s="125">
        <f>IF(OR(B23=$A$55),E23,0)</f>
        <v>0</v>
      </c>
      <c r="J23" s="125">
        <f>IF(OR(B23=$A$56),E23,0)</f>
        <v>0</v>
      </c>
      <c r="K23" s="125">
        <f>IF(OR(B23=$A$57),E23,0)</f>
        <v>0</v>
      </c>
      <c r="L23" s="125">
        <f>IF(OR(B23=$A$58),E23,0)</f>
        <v>0</v>
      </c>
      <c r="M23" s="125">
        <f>IF(OR(B23=$A$59),E23,0)</f>
        <v>0</v>
      </c>
      <c r="N23" s="125">
        <f>IF(OR(B23=$A$60),E23,0)</f>
        <v>0</v>
      </c>
      <c r="O23" s="125">
        <f>IF(OR(B23=$A$61),E23,0)</f>
        <v>0</v>
      </c>
      <c r="P23" s="125">
        <f>IF(OR(B23=$A$62),E23,0)</f>
        <v>0</v>
      </c>
      <c r="Q23" s="125">
        <f>IF(OR(B23=$A$63),E23,0)</f>
        <v>0</v>
      </c>
      <c r="R23" s="125">
        <f>IF(OR(B23=$A$64),E23,0)</f>
        <v>0</v>
      </c>
    </row>
    <row r="24" spans="1:18" x14ac:dyDescent="0.2">
      <c r="A24" s="32"/>
      <c r="B24" s="32"/>
      <c r="C24" s="33"/>
      <c r="D24" s="131" t="str">
        <f>IFERROR(VLOOKUP(B24,$A$54:$C$64,3,0),"")</f>
        <v/>
      </c>
      <c r="E24" s="132">
        <f t="shared" si="0"/>
        <v>0</v>
      </c>
      <c r="G24" s="138">
        <f>IF(OR(B18=$A$54),E18,0)</f>
        <v>0</v>
      </c>
      <c r="H24" s="125">
        <f>IF(OR(B24=$A$54),E24,0)</f>
        <v>0</v>
      </c>
      <c r="I24" s="125">
        <f>IF(OR(B24=$A$55),E24,0)</f>
        <v>0</v>
      </c>
      <c r="J24" s="125">
        <f>IF(OR(B24=$A$56),E24,0)</f>
        <v>0</v>
      </c>
      <c r="K24" s="125">
        <f>IF(OR(B24=$A$57),E24,0)</f>
        <v>0</v>
      </c>
      <c r="L24" s="125">
        <f>IF(OR(B24=$A$58),E24,0)</f>
        <v>0</v>
      </c>
      <c r="M24" s="125">
        <f>IF(OR(B24=$A$59),E24,0)</f>
        <v>0</v>
      </c>
      <c r="N24" s="125">
        <f>IF(OR(B24=$A$60),E24,0)</f>
        <v>0</v>
      </c>
      <c r="O24" s="125">
        <f>IF(OR(B24=$A$61),E24,0)</f>
        <v>0</v>
      </c>
      <c r="P24" s="125">
        <f>IF(OR(B24=$A$62),E24,0)</f>
        <v>0</v>
      </c>
      <c r="Q24" s="125">
        <f>IF(OR(B24=$A$63),E24,0)</f>
        <v>0</v>
      </c>
      <c r="R24" s="125">
        <f>IF(OR(B24=$A$64),E24,0)</f>
        <v>0</v>
      </c>
    </row>
    <row r="25" spans="1:18" x14ac:dyDescent="0.2">
      <c r="A25" s="32"/>
      <c r="B25" s="32"/>
      <c r="C25" s="33"/>
      <c r="D25" s="131" t="str">
        <f>IFERROR(VLOOKUP(B25,$A$54:$C$64,3,0),"")</f>
        <v/>
      </c>
      <c r="E25" s="132">
        <f t="shared" si="0"/>
        <v>0</v>
      </c>
      <c r="G25" s="138">
        <f>IF(OR(B19=$A$54),E19,0)</f>
        <v>0</v>
      </c>
      <c r="H25" s="125">
        <f>IF(OR(B25=$A$54),E25,0)</f>
        <v>0</v>
      </c>
      <c r="I25" s="125">
        <f>IF(OR(B25=$A$55),E25,0)</f>
        <v>0</v>
      </c>
      <c r="J25" s="125">
        <f>IF(OR(B25=$A$56),E25,0)</f>
        <v>0</v>
      </c>
      <c r="K25" s="125">
        <f>IF(OR(B25=$A$57),E25,0)</f>
        <v>0</v>
      </c>
      <c r="L25" s="125">
        <f>IF(OR(B25=$A$58),E25,0)</f>
        <v>0</v>
      </c>
      <c r="M25" s="125">
        <f>IF(OR(B25=$A$59),E25,0)</f>
        <v>0</v>
      </c>
      <c r="N25" s="125">
        <f>IF(OR(B25=$A$60),E25,0)</f>
        <v>0</v>
      </c>
      <c r="O25" s="125">
        <f>IF(OR(B25=$A$61),E25,0)</f>
        <v>0</v>
      </c>
      <c r="P25" s="125">
        <f>IF(OR(B25=$A$62),E25,0)</f>
        <v>0</v>
      </c>
      <c r="Q25" s="125">
        <f>IF(OR(B25=$A$63),E25,0)</f>
        <v>0</v>
      </c>
      <c r="R25" s="125">
        <f>IF(OR(B25=$A$64),E25,0)</f>
        <v>0</v>
      </c>
    </row>
    <row r="26" spans="1:18" x14ac:dyDescent="0.2">
      <c r="A26" s="32"/>
      <c r="B26" s="32"/>
      <c r="C26" s="33"/>
      <c r="D26" s="131" t="str">
        <f>IFERROR(VLOOKUP(B26,$A$54:$C$64,3,0),"")</f>
        <v/>
      </c>
      <c r="E26" s="132">
        <f t="shared" si="0"/>
        <v>0</v>
      </c>
      <c r="G26" s="138">
        <f>IF(OR(B20=$A$54),E20,0)</f>
        <v>0</v>
      </c>
      <c r="H26" s="125">
        <f>IF(OR(B26=$A$54),E26,0)</f>
        <v>0</v>
      </c>
      <c r="I26" s="125">
        <f>IF(OR(B26=$A$55),E26,0)</f>
        <v>0</v>
      </c>
      <c r="J26" s="125">
        <f>IF(OR(B26=$A$56),E26,0)</f>
        <v>0</v>
      </c>
      <c r="K26" s="125">
        <f>IF(OR(B26=$A$57),E26,0)</f>
        <v>0</v>
      </c>
      <c r="L26" s="125">
        <f>IF(OR(B26=$A$58),E26,0)</f>
        <v>0</v>
      </c>
      <c r="M26" s="125">
        <f>IF(OR(B26=$A$59),E26,0)</f>
        <v>0</v>
      </c>
      <c r="N26" s="125">
        <f>IF(OR(B26=$A$60),E26,0)</f>
        <v>0</v>
      </c>
      <c r="O26" s="125">
        <f>IF(OR(B26=$A$61),E26,0)</f>
        <v>0</v>
      </c>
      <c r="P26" s="125">
        <f>IF(OR(B26=$A$62),E26,0)</f>
        <v>0</v>
      </c>
      <c r="Q26" s="125">
        <f>IF(OR(B26=$A$63),E26,0)</f>
        <v>0</v>
      </c>
      <c r="R26" s="125">
        <f>IF(OR(B26=$A$64),E26,0)</f>
        <v>0</v>
      </c>
    </row>
    <row r="27" spans="1:18" x14ac:dyDescent="0.2">
      <c r="A27" s="32"/>
      <c r="B27" s="32"/>
      <c r="C27" s="33"/>
      <c r="D27" s="131" t="str">
        <f>IFERROR(VLOOKUP(B27,$A$54:$C$64,3,0),"")</f>
        <v/>
      </c>
      <c r="E27" s="132">
        <f t="shared" si="0"/>
        <v>0</v>
      </c>
      <c r="G27" s="138">
        <f>IF(OR(B21=$A$54),E21,0)</f>
        <v>0</v>
      </c>
      <c r="H27" s="125">
        <f>IF(OR(B27=$A$54),E27,0)</f>
        <v>0</v>
      </c>
      <c r="I27" s="125">
        <f>IF(OR(B27=$A$55),E27,0)</f>
        <v>0</v>
      </c>
      <c r="J27" s="125">
        <f>IF(OR(B27=$A$56),E27,0)</f>
        <v>0</v>
      </c>
      <c r="K27" s="125">
        <f>IF(OR(B27=$A$57),E27,0)</f>
        <v>0</v>
      </c>
      <c r="L27" s="125">
        <f>IF(OR(B27=$A$58),E27,0)</f>
        <v>0</v>
      </c>
      <c r="M27" s="125">
        <f>IF(OR(B27=$A$59),E27,0)</f>
        <v>0</v>
      </c>
      <c r="N27" s="125">
        <f>IF(OR(B27=$A$60),E27,0)</f>
        <v>0</v>
      </c>
      <c r="O27" s="125">
        <f>IF(OR(B27=$A$61),E27,0)</f>
        <v>0</v>
      </c>
      <c r="P27" s="125">
        <f>IF(OR(B27=$A$62),E27,0)</f>
        <v>0</v>
      </c>
      <c r="Q27" s="125">
        <f>IF(OR(B27=$A$63),E27,0)</f>
        <v>0</v>
      </c>
      <c r="R27" s="125">
        <f>IF(OR(B27=$A$64),E27,0)</f>
        <v>0</v>
      </c>
    </row>
    <row r="28" spans="1:18" x14ac:dyDescent="0.2">
      <c r="A28" s="32"/>
      <c r="B28" s="32"/>
      <c r="C28" s="33"/>
      <c r="D28" s="131" t="str">
        <f>IFERROR(VLOOKUP(B28,$A$54:$C$64,3,0),"")</f>
        <v/>
      </c>
      <c r="E28" s="132">
        <f t="shared" si="0"/>
        <v>0</v>
      </c>
      <c r="G28" s="138">
        <f>IF(OR(B22=$A$54),E22,0)</f>
        <v>0</v>
      </c>
      <c r="H28" s="125">
        <f>IF(OR(B28=$A$54),E28,0)</f>
        <v>0</v>
      </c>
      <c r="I28" s="125">
        <f>IF(OR(B28=$A$55),E28,0)</f>
        <v>0</v>
      </c>
      <c r="J28" s="125">
        <f>IF(OR(B28=$A$56),E28,0)</f>
        <v>0</v>
      </c>
      <c r="K28" s="125">
        <f>IF(OR(B28=$A$57),E28,0)</f>
        <v>0</v>
      </c>
      <c r="L28" s="125">
        <f>IF(OR(B28=$A$58),E28,0)</f>
        <v>0</v>
      </c>
      <c r="M28" s="125">
        <f>IF(OR(B28=$A$59),E28,0)</f>
        <v>0</v>
      </c>
      <c r="N28" s="125">
        <f>IF(OR(B28=$A$60),E28,0)</f>
        <v>0</v>
      </c>
      <c r="O28" s="125">
        <f>IF(OR(B28=$A$61),E28,0)</f>
        <v>0</v>
      </c>
      <c r="P28" s="125">
        <f>IF(OR(B28=$A$62),E28,0)</f>
        <v>0</v>
      </c>
      <c r="Q28" s="125">
        <f>IF(OR(B28=$A$63),E28,0)</f>
        <v>0</v>
      </c>
      <c r="R28" s="125">
        <f>IF(OR(B28=$A$64),E28,0)</f>
        <v>0</v>
      </c>
    </row>
    <row r="29" spans="1:18" x14ac:dyDescent="0.2">
      <c r="A29" s="32"/>
      <c r="B29" s="32"/>
      <c r="C29" s="33"/>
      <c r="D29" s="131" t="str">
        <f>IFERROR(VLOOKUP(B29,$A$54:$C$64,3,0),"")</f>
        <v/>
      </c>
      <c r="E29" s="132">
        <f t="shared" si="0"/>
        <v>0</v>
      </c>
      <c r="G29" s="138">
        <f>IF(OR(B23=$A$54),E23,0)</f>
        <v>0</v>
      </c>
      <c r="H29" s="125">
        <f>IF(OR(B29=$A$54),E29,0)</f>
        <v>0</v>
      </c>
      <c r="I29" s="125">
        <f>IF(OR(B29=$A$55),E29,0)</f>
        <v>0</v>
      </c>
      <c r="J29" s="125">
        <f>IF(OR(B29=$A$56),E29,0)</f>
        <v>0</v>
      </c>
      <c r="K29" s="125">
        <f>IF(OR(B29=$A$57),E29,0)</f>
        <v>0</v>
      </c>
      <c r="L29" s="125">
        <f>IF(OR(B29=$A$58),E29,0)</f>
        <v>0</v>
      </c>
      <c r="M29" s="125">
        <f>IF(OR(B29=$A$59),E29,0)</f>
        <v>0</v>
      </c>
      <c r="N29" s="125">
        <f>IF(OR(B29=$A$60),E29,0)</f>
        <v>0</v>
      </c>
      <c r="O29" s="125">
        <f>IF(OR(B29=$A$61),E29,0)</f>
        <v>0</v>
      </c>
      <c r="P29" s="125">
        <f>IF(OR(B29=$A$62),E29,0)</f>
        <v>0</v>
      </c>
      <c r="Q29" s="125">
        <f>IF(OR(B29=$A$63),E29,0)</f>
        <v>0</v>
      </c>
      <c r="R29" s="125">
        <f>IF(OR(B29=$A$64),E29,0)</f>
        <v>0</v>
      </c>
    </row>
    <row r="30" spans="1:18" x14ac:dyDescent="0.2">
      <c r="A30" s="32"/>
      <c r="B30" s="32"/>
      <c r="C30" s="33"/>
      <c r="D30" s="131" t="str">
        <f>IFERROR(VLOOKUP(B30,$A$54:$C$64,3,0),"")</f>
        <v/>
      </c>
      <c r="E30" s="132">
        <f t="shared" si="0"/>
        <v>0</v>
      </c>
      <c r="G30" s="138">
        <f>IF(OR(B24=$A$54),E24,0)</f>
        <v>0</v>
      </c>
      <c r="H30" s="125">
        <f>IF(OR(B30=$A$54),E30,0)</f>
        <v>0</v>
      </c>
      <c r="I30" s="125">
        <f>IF(OR(B30=$A$55),E30,0)</f>
        <v>0</v>
      </c>
      <c r="J30" s="125">
        <f>IF(OR(B30=$A$56),E30,0)</f>
        <v>0</v>
      </c>
      <c r="K30" s="125">
        <f>IF(OR(B30=$A$57),E30,0)</f>
        <v>0</v>
      </c>
      <c r="L30" s="125">
        <f>IF(OR(B30=$A$58),E30,0)</f>
        <v>0</v>
      </c>
      <c r="M30" s="125">
        <f>IF(OR(B30=$A$59),E30,0)</f>
        <v>0</v>
      </c>
      <c r="N30" s="125">
        <f>IF(OR(B30=$A$60),E30,0)</f>
        <v>0</v>
      </c>
      <c r="O30" s="125">
        <f>IF(OR(B30=$A$61),E30,0)</f>
        <v>0</v>
      </c>
      <c r="P30" s="125">
        <f>IF(OR(B30=$A$62),E30,0)</f>
        <v>0</v>
      </c>
      <c r="Q30" s="125">
        <f>IF(OR(B30=$A$63),E30,0)</f>
        <v>0</v>
      </c>
      <c r="R30" s="125">
        <f>IF(OR(B30=$A$64),E30,0)</f>
        <v>0</v>
      </c>
    </row>
    <row r="31" spans="1:18" x14ac:dyDescent="0.2">
      <c r="A31" s="32"/>
      <c r="B31" s="32"/>
      <c r="C31" s="33"/>
      <c r="D31" s="131" t="str">
        <f>IFERROR(VLOOKUP(B31,$A$54:$C$64,3,0),"")</f>
        <v/>
      </c>
      <c r="E31" s="132">
        <f t="shared" si="0"/>
        <v>0</v>
      </c>
      <c r="G31" s="138">
        <f>IF(OR(B25=$A$54),E25,0)</f>
        <v>0</v>
      </c>
      <c r="H31" s="125">
        <f>IF(OR(B31=$A$54),E31,0)</f>
        <v>0</v>
      </c>
      <c r="I31" s="125">
        <f>IF(OR(B31=$A$55),E31,0)</f>
        <v>0</v>
      </c>
      <c r="J31" s="125">
        <f>IF(OR(B31=$A$56),E31,0)</f>
        <v>0</v>
      </c>
      <c r="K31" s="125">
        <f>IF(OR(B31=$A$57),E31,0)</f>
        <v>0</v>
      </c>
      <c r="L31" s="125">
        <f>IF(OR(B31=$A$58),E31,0)</f>
        <v>0</v>
      </c>
      <c r="M31" s="125">
        <f>IF(OR(B31=$A$59),E31,0)</f>
        <v>0</v>
      </c>
      <c r="N31" s="125">
        <f>IF(OR(B31=$A$60),E31,0)</f>
        <v>0</v>
      </c>
      <c r="O31" s="125">
        <f>IF(OR(B31=$A$61),E31,0)</f>
        <v>0</v>
      </c>
      <c r="P31" s="125">
        <f>IF(OR(B31=$A$62),E31,0)</f>
        <v>0</v>
      </c>
      <c r="Q31" s="125">
        <f>IF(OR(B31=$A$63),E31,0)</f>
        <v>0</v>
      </c>
      <c r="R31" s="125">
        <f>IF(OR(B31=$A$64),E31,0)</f>
        <v>0</v>
      </c>
    </row>
    <row r="32" spans="1:18" x14ac:dyDescent="0.2">
      <c r="A32" s="32"/>
      <c r="B32" s="32"/>
      <c r="C32" s="33"/>
      <c r="D32" s="131" t="str">
        <f>IFERROR(VLOOKUP(B32,$A$54:$C$64,3,0),"")</f>
        <v/>
      </c>
      <c r="E32" s="132">
        <f t="shared" si="0"/>
        <v>0</v>
      </c>
      <c r="G32" s="138">
        <f>IF(OR(B26=$A$54),E26,0)</f>
        <v>0</v>
      </c>
      <c r="H32" s="125">
        <f>IF(OR(B32=$A$54),E32,0)</f>
        <v>0</v>
      </c>
      <c r="I32" s="125">
        <f>IF(OR(B32=$A$55),E32,0)</f>
        <v>0</v>
      </c>
      <c r="J32" s="125">
        <f>IF(OR(B32=$A$56),E32,0)</f>
        <v>0</v>
      </c>
      <c r="K32" s="125">
        <f>IF(OR(B32=$A$57),E32,0)</f>
        <v>0</v>
      </c>
      <c r="L32" s="125">
        <f>IF(OR(B32=$A$58),E32,0)</f>
        <v>0</v>
      </c>
      <c r="M32" s="125">
        <f>IF(OR(B32=$A$59),E32,0)</f>
        <v>0</v>
      </c>
      <c r="N32" s="125">
        <f>IF(OR(B32=$A$60),E32,0)</f>
        <v>0</v>
      </c>
      <c r="O32" s="125">
        <f>IF(OR(B32=$A$61),E32,0)</f>
        <v>0</v>
      </c>
      <c r="P32" s="125">
        <f>IF(OR(B32=$A$62),E32,0)</f>
        <v>0</v>
      </c>
      <c r="Q32" s="125">
        <f>IF(OR(B32=$A$63),E32,0)</f>
        <v>0</v>
      </c>
      <c r="R32" s="125">
        <f>IF(OR(B32=$A$64),E32,0)</f>
        <v>0</v>
      </c>
    </row>
    <row r="33" spans="1:18" x14ac:dyDescent="0.2">
      <c r="A33" s="32"/>
      <c r="B33" s="32"/>
      <c r="C33" s="33"/>
      <c r="D33" s="131" t="str">
        <f t="shared" ref="D33:D44" si="1">IFERROR(VLOOKUP(B33,$A$54:$C$64,3,0),"")</f>
        <v/>
      </c>
      <c r="E33" s="132">
        <f t="shared" ref="E33:E44" si="2">IFERROR(C33*D33,0)</f>
        <v>0</v>
      </c>
      <c r="G33" s="138">
        <f t="shared" ref="G33:G44" si="3">IF(OR(B15=$A$54),E15,0)</f>
        <v>0</v>
      </c>
      <c r="H33" s="125">
        <f t="shared" ref="H33:H44" si="4">IF(OR(B33=$A$54),E33,0)</f>
        <v>0</v>
      </c>
      <c r="I33" s="125">
        <f t="shared" ref="I33:I44" si="5">IF(OR(B33=$A$55),E33,0)</f>
        <v>0</v>
      </c>
      <c r="J33" s="125">
        <f t="shared" ref="J33:J44" si="6">IF(OR(B33=$A$56),E33,0)</f>
        <v>0</v>
      </c>
      <c r="K33" s="125">
        <f t="shared" ref="K33:K44" si="7">IF(OR(B33=$A$57),E33,0)</f>
        <v>0</v>
      </c>
      <c r="L33" s="125">
        <f t="shared" ref="L33:L44" si="8">IF(OR(B33=$A$58),E33,0)</f>
        <v>0</v>
      </c>
      <c r="M33" s="125">
        <f t="shared" ref="M33:M44" si="9">IF(OR(B33=$A$59),E33,0)</f>
        <v>0</v>
      </c>
      <c r="N33" s="125">
        <f t="shared" ref="N33:N44" si="10">IF(OR(B33=$A$60),E33,0)</f>
        <v>0</v>
      </c>
      <c r="O33" s="125">
        <f t="shared" ref="O33:O44" si="11">IF(OR(B33=$A$61),E33,0)</f>
        <v>0</v>
      </c>
      <c r="P33" s="125">
        <f t="shared" ref="P33:P44" si="12">IF(OR(B33=$A$62),E33,0)</f>
        <v>0</v>
      </c>
      <c r="Q33" s="125">
        <f t="shared" ref="Q33:Q44" si="13">IF(OR(B33=$A$63),E33,0)</f>
        <v>0</v>
      </c>
      <c r="R33" s="125">
        <f t="shared" ref="R33:R44" si="14">IF(OR(B33=$A$64),E33,0)</f>
        <v>0</v>
      </c>
    </row>
    <row r="34" spans="1:18" x14ac:dyDescent="0.2">
      <c r="A34" s="32"/>
      <c r="B34" s="32"/>
      <c r="C34" s="33"/>
      <c r="D34" s="131" t="str">
        <f t="shared" si="1"/>
        <v/>
      </c>
      <c r="E34" s="132">
        <f t="shared" si="2"/>
        <v>0</v>
      </c>
      <c r="G34" s="138">
        <f t="shared" si="3"/>
        <v>0</v>
      </c>
      <c r="H34" s="125">
        <f t="shared" si="4"/>
        <v>0</v>
      </c>
      <c r="I34" s="125">
        <f t="shared" si="5"/>
        <v>0</v>
      </c>
      <c r="J34" s="125">
        <f t="shared" si="6"/>
        <v>0</v>
      </c>
      <c r="K34" s="125">
        <f t="shared" si="7"/>
        <v>0</v>
      </c>
      <c r="L34" s="125">
        <f t="shared" si="8"/>
        <v>0</v>
      </c>
      <c r="M34" s="125">
        <f t="shared" si="9"/>
        <v>0</v>
      </c>
      <c r="N34" s="125">
        <f t="shared" si="10"/>
        <v>0</v>
      </c>
      <c r="O34" s="125">
        <f t="shared" si="11"/>
        <v>0</v>
      </c>
      <c r="P34" s="125">
        <f t="shared" si="12"/>
        <v>0</v>
      </c>
      <c r="Q34" s="125">
        <f t="shared" si="13"/>
        <v>0</v>
      </c>
      <c r="R34" s="125">
        <f t="shared" si="14"/>
        <v>0</v>
      </c>
    </row>
    <row r="35" spans="1:18" x14ac:dyDescent="0.2">
      <c r="A35" s="32"/>
      <c r="B35" s="32"/>
      <c r="C35" s="33"/>
      <c r="D35" s="131" t="str">
        <f t="shared" si="1"/>
        <v/>
      </c>
      <c r="E35" s="132">
        <f t="shared" si="2"/>
        <v>0</v>
      </c>
      <c r="G35" s="138">
        <f t="shared" si="3"/>
        <v>0</v>
      </c>
      <c r="H35" s="125">
        <f t="shared" si="4"/>
        <v>0</v>
      </c>
      <c r="I35" s="125">
        <f t="shared" si="5"/>
        <v>0</v>
      </c>
      <c r="J35" s="125">
        <f t="shared" si="6"/>
        <v>0</v>
      </c>
      <c r="K35" s="125">
        <f t="shared" si="7"/>
        <v>0</v>
      </c>
      <c r="L35" s="125">
        <f t="shared" si="8"/>
        <v>0</v>
      </c>
      <c r="M35" s="125">
        <f t="shared" si="9"/>
        <v>0</v>
      </c>
      <c r="N35" s="125">
        <f t="shared" si="10"/>
        <v>0</v>
      </c>
      <c r="O35" s="125">
        <f t="shared" si="11"/>
        <v>0</v>
      </c>
      <c r="P35" s="125">
        <f t="shared" si="12"/>
        <v>0</v>
      </c>
      <c r="Q35" s="125">
        <f t="shared" si="13"/>
        <v>0</v>
      </c>
      <c r="R35" s="125">
        <f t="shared" si="14"/>
        <v>0</v>
      </c>
    </row>
    <row r="36" spans="1:18" x14ac:dyDescent="0.2">
      <c r="A36" s="32"/>
      <c r="B36" s="32"/>
      <c r="C36" s="33"/>
      <c r="D36" s="131" t="str">
        <f t="shared" si="1"/>
        <v/>
      </c>
      <c r="E36" s="132">
        <f t="shared" si="2"/>
        <v>0</v>
      </c>
      <c r="G36" s="138">
        <f t="shared" si="3"/>
        <v>0</v>
      </c>
      <c r="H36" s="125">
        <f t="shared" si="4"/>
        <v>0</v>
      </c>
      <c r="I36" s="125">
        <f t="shared" si="5"/>
        <v>0</v>
      </c>
      <c r="J36" s="125">
        <f t="shared" si="6"/>
        <v>0</v>
      </c>
      <c r="K36" s="125">
        <f t="shared" si="7"/>
        <v>0</v>
      </c>
      <c r="L36" s="125">
        <f t="shared" si="8"/>
        <v>0</v>
      </c>
      <c r="M36" s="125">
        <f t="shared" si="9"/>
        <v>0</v>
      </c>
      <c r="N36" s="125">
        <f t="shared" si="10"/>
        <v>0</v>
      </c>
      <c r="O36" s="125">
        <f t="shared" si="11"/>
        <v>0</v>
      </c>
      <c r="P36" s="125">
        <f t="shared" si="12"/>
        <v>0</v>
      </c>
      <c r="Q36" s="125">
        <f t="shared" si="13"/>
        <v>0</v>
      </c>
      <c r="R36" s="125">
        <f t="shared" si="14"/>
        <v>0</v>
      </c>
    </row>
    <row r="37" spans="1:18" x14ac:dyDescent="0.2">
      <c r="A37" s="32"/>
      <c r="B37" s="32"/>
      <c r="C37" s="33"/>
      <c r="D37" s="131" t="str">
        <f t="shared" si="1"/>
        <v/>
      </c>
      <c r="E37" s="132">
        <f t="shared" si="2"/>
        <v>0</v>
      </c>
      <c r="G37" s="138">
        <f t="shared" si="3"/>
        <v>0</v>
      </c>
      <c r="H37" s="125">
        <f t="shared" si="4"/>
        <v>0</v>
      </c>
      <c r="I37" s="125">
        <f t="shared" si="5"/>
        <v>0</v>
      </c>
      <c r="J37" s="125">
        <f t="shared" si="6"/>
        <v>0</v>
      </c>
      <c r="K37" s="125">
        <f t="shared" si="7"/>
        <v>0</v>
      </c>
      <c r="L37" s="125">
        <f t="shared" si="8"/>
        <v>0</v>
      </c>
      <c r="M37" s="125">
        <f t="shared" si="9"/>
        <v>0</v>
      </c>
      <c r="N37" s="125">
        <f t="shared" si="10"/>
        <v>0</v>
      </c>
      <c r="O37" s="125">
        <f t="shared" si="11"/>
        <v>0</v>
      </c>
      <c r="P37" s="125">
        <f t="shared" si="12"/>
        <v>0</v>
      </c>
      <c r="Q37" s="125">
        <f t="shared" si="13"/>
        <v>0</v>
      </c>
      <c r="R37" s="125">
        <f t="shared" si="14"/>
        <v>0</v>
      </c>
    </row>
    <row r="38" spans="1:18" x14ac:dyDescent="0.2">
      <c r="A38" s="32"/>
      <c r="B38" s="32"/>
      <c r="C38" s="33"/>
      <c r="D38" s="131" t="str">
        <f t="shared" si="1"/>
        <v/>
      </c>
      <c r="E38" s="132">
        <f t="shared" si="2"/>
        <v>0</v>
      </c>
      <c r="G38" s="138">
        <f t="shared" si="3"/>
        <v>0</v>
      </c>
      <c r="H38" s="125">
        <f t="shared" si="4"/>
        <v>0</v>
      </c>
      <c r="I38" s="125">
        <f t="shared" si="5"/>
        <v>0</v>
      </c>
      <c r="J38" s="125">
        <f t="shared" si="6"/>
        <v>0</v>
      </c>
      <c r="K38" s="125">
        <f t="shared" si="7"/>
        <v>0</v>
      </c>
      <c r="L38" s="125">
        <f t="shared" si="8"/>
        <v>0</v>
      </c>
      <c r="M38" s="125">
        <f t="shared" si="9"/>
        <v>0</v>
      </c>
      <c r="N38" s="125">
        <f t="shared" si="10"/>
        <v>0</v>
      </c>
      <c r="O38" s="125">
        <f t="shared" si="11"/>
        <v>0</v>
      </c>
      <c r="P38" s="125">
        <f t="shared" si="12"/>
        <v>0</v>
      </c>
      <c r="Q38" s="125">
        <f t="shared" si="13"/>
        <v>0</v>
      </c>
      <c r="R38" s="125">
        <f t="shared" si="14"/>
        <v>0</v>
      </c>
    </row>
    <row r="39" spans="1:18" x14ac:dyDescent="0.2">
      <c r="A39" s="32"/>
      <c r="B39" s="32"/>
      <c r="C39" s="33"/>
      <c r="D39" s="131" t="str">
        <f t="shared" si="1"/>
        <v/>
      </c>
      <c r="E39" s="132">
        <f t="shared" si="2"/>
        <v>0</v>
      </c>
      <c r="G39" s="138">
        <f t="shared" si="3"/>
        <v>0</v>
      </c>
      <c r="H39" s="125">
        <f t="shared" si="4"/>
        <v>0</v>
      </c>
      <c r="I39" s="125">
        <f t="shared" si="5"/>
        <v>0</v>
      </c>
      <c r="J39" s="125">
        <f t="shared" si="6"/>
        <v>0</v>
      </c>
      <c r="K39" s="125">
        <f t="shared" si="7"/>
        <v>0</v>
      </c>
      <c r="L39" s="125">
        <f t="shared" si="8"/>
        <v>0</v>
      </c>
      <c r="M39" s="125">
        <f t="shared" si="9"/>
        <v>0</v>
      </c>
      <c r="N39" s="125">
        <f t="shared" si="10"/>
        <v>0</v>
      </c>
      <c r="O39" s="125">
        <f t="shared" si="11"/>
        <v>0</v>
      </c>
      <c r="P39" s="125">
        <f t="shared" si="12"/>
        <v>0</v>
      </c>
      <c r="Q39" s="125">
        <f t="shared" si="13"/>
        <v>0</v>
      </c>
      <c r="R39" s="125">
        <f t="shared" si="14"/>
        <v>0</v>
      </c>
    </row>
    <row r="40" spans="1:18" x14ac:dyDescent="0.2">
      <c r="A40" s="32"/>
      <c r="B40" s="32"/>
      <c r="C40" s="33"/>
      <c r="D40" s="131" t="str">
        <f t="shared" si="1"/>
        <v/>
      </c>
      <c r="E40" s="132">
        <f t="shared" si="2"/>
        <v>0</v>
      </c>
      <c r="G40" s="138">
        <f t="shared" si="3"/>
        <v>0</v>
      </c>
      <c r="H40" s="125">
        <f t="shared" si="4"/>
        <v>0</v>
      </c>
      <c r="I40" s="125">
        <f t="shared" si="5"/>
        <v>0</v>
      </c>
      <c r="J40" s="125">
        <f t="shared" si="6"/>
        <v>0</v>
      </c>
      <c r="K40" s="125">
        <f t="shared" si="7"/>
        <v>0</v>
      </c>
      <c r="L40" s="125">
        <f t="shared" si="8"/>
        <v>0</v>
      </c>
      <c r="M40" s="125">
        <f t="shared" si="9"/>
        <v>0</v>
      </c>
      <c r="N40" s="125">
        <f t="shared" si="10"/>
        <v>0</v>
      </c>
      <c r="O40" s="125">
        <f t="shared" si="11"/>
        <v>0</v>
      </c>
      <c r="P40" s="125">
        <f t="shared" si="12"/>
        <v>0</v>
      </c>
      <c r="Q40" s="125">
        <f t="shared" si="13"/>
        <v>0</v>
      </c>
      <c r="R40" s="125">
        <f t="shared" si="14"/>
        <v>0</v>
      </c>
    </row>
    <row r="41" spans="1:18" x14ac:dyDescent="0.2">
      <c r="A41" s="32"/>
      <c r="B41" s="32"/>
      <c r="C41" s="33"/>
      <c r="D41" s="131" t="str">
        <f t="shared" si="1"/>
        <v/>
      </c>
      <c r="E41" s="132">
        <f t="shared" si="2"/>
        <v>0</v>
      </c>
      <c r="G41" s="138">
        <f t="shared" si="3"/>
        <v>0</v>
      </c>
      <c r="H41" s="125">
        <f t="shared" si="4"/>
        <v>0</v>
      </c>
      <c r="I41" s="125">
        <f t="shared" si="5"/>
        <v>0</v>
      </c>
      <c r="J41" s="125">
        <f t="shared" si="6"/>
        <v>0</v>
      </c>
      <c r="K41" s="125">
        <f t="shared" si="7"/>
        <v>0</v>
      </c>
      <c r="L41" s="125">
        <f t="shared" si="8"/>
        <v>0</v>
      </c>
      <c r="M41" s="125">
        <f t="shared" si="9"/>
        <v>0</v>
      </c>
      <c r="N41" s="125">
        <f t="shared" si="10"/>
        <v>0</v>
      </c>
      <c r="O41" s="125">
        <f t="shared" si="11"/>
        <v>0</v>
      </c>
      <c r="P41" s="125">
        <f t="shared" si="12"/>
        <v>0</v>
      </c>
      <c r="Q41" s="125">
        <f t="shared" si="13"/>
        <v>0</v>
      </c>
      <c r="R41" s="125">
        <f t="shared" si="14"/>
        <v>0</v>
      </c>
    </row>
    <row r="42" spans="1:18" x14ac:dyDescent="0.2">
      <c r="A42" s="32"/>
      <c r="B42" s="32"/>
      <c r="C42" s="33"/>
      <c r="D42" s="131" t="str">
        <f t="shared" si="1"/>
        <v/>
      </c>
      <c r="E42" s="132">
        <f t="shared" si="2"/>
        <v>0</v>
      </c>
      <c r="G42" s="138">
        <f t="shared" si="3"/>
        <v>0</v>
      </c>
      <c r="H42" s="125">
        <f t="shared" si="4"/>
        <v>0</v>
      </c>
      <c r="I42" s="125">
        <f t="shared" si="5"/>
        <v>0</v>
      </c>
      <c r="J42" s="125">
        <f t="shared" si="6"/>
        <v>0</v>
      </c>
      <c r="K42" s="125">
        <f t="shared" si="7"/>
        <v>0</v>
      </c>
      <c r="L42" s="125">
        <f t="shared" si="8"/>
        <v>0</v>
      </c>
      <c r="M42" s="125">
        <f t="shared" si="9"/>
        <v>0</v>
      </c>
      <c r="N42" s="125">
        <f t="shared" si="10"/>
        <v>0</v>
      </c>
      <c r="O42" s="125">
        <f t="shared" si="11"/>
        <v>0</v>
      </c>
      <c r="P42" s="125">
        <f t="shared" si="12"/>
        <v>0</v>
      </c>
      <c r="Q42" s="125">
        <f t="shared" si="13"/>
        <v>0</v>
      </c>
      <c r="R42" s="125">
        <f t="shared" si="14"/>
        <v>0</v>
      </c>
    </row>
    <row r="43" spans="1:18" x14ac:dyDescent="0.2">
      <c r="A43" s="32"/>
      <c r="B43" s="32"/>
      <c r="C43" s="33"/>
      <c r="D43" s="131" t="str">
        <f t="shared" si="1"/>
        <v/>
      </c>
      <c r="E43" s="132">
        <f t="shared" si="2"/>
        <v>0</v>
      </c>
      <c r="G43" s="138">
        <f t="shared" si="3"/>
        <v>0</v>
      </c>
      <c r="H43" s="125">
        <f t="shared" si="4"/>
        <v>0</v>
      </c>
      <c r="I43" s="125">
        <f t="shared" si="5"/>
        <v>0</v>
      </c>
      <c r="J43" s="125">
        <f t="shared" si="6"/>
        <v>0</v>
      </c>
      <c r="K43" s="125">
        <f t="shared" si="7"/>
        <v>0</v>
      </c>
      <c r="L43" s="125">
        <f t="shared" si="8"/>
        <v>0</v>
      </c>
      <c r="M43" s="125">
        <f t="shared" si="9"/>
        <v>0</v>
      </c>
      <c r="N43" s="125">
        <f t="shared" si="10"/>
        <v>0</v>
      </c>
      <c r="O43" s="125">
        <f t="shared" si="11"/>
        <v>0</v>
      </c>
      <c r="P43" s="125">
        <f t="shared" si="12"/>
        <v>0</v>
      </c>
      <c r="Q43" s="125">
        <f t="shared" si="13"/>
        <v>0</v>
      </c>
      <c r="R43" s="125">
        <f t="shared" si="14"/>
        <v>0</v>
      </c>
    </row>
    <row r="44" spans="1:18" x14ac:dyDescent="0.2">
      <c r="A44" s="32"/>
      <c r="B44" s="32"/>
      <c r="C44" s="33"/>
      <c r="D44" s="131" t="str">
        <f t="shared" si="1"/>
        <v/>
      </c>
      <c r="E44" s="132">
        <f t="shared" si="2"/>
        <v>0</v>
      </c>
      <c r="G44" s="138">
        <f t="shared" si="3"/>
        <v>0</v>
      </c>
      <c r="H44" s="125">
        <f t="shared" si="4"/>
        <v>0</v>
      </c>
      <c r="I44" s="125">
        <f t="shared" si="5"/>
        <v>0</v>
      </c>
      <c r="J44" s="125">
        <f t="shared" si="6"/>
        <v>0</v>
      </c>
      <c r="K44" s="125">
        <f t="shared" si="7"/>
        <v>0</v>
      </c>
      <c r="L44" s="125">
        <f t="shared" si="8"/>
        <v>0</v>
      </c>
      <c r="M44" s="125">
        <f t="shared" si="9"/>
        <v>0</v>
      </c>
      <c r="N44" s="125">
        <f t="shared" si="10"/>
        <v>0</v>
      </c>
      <c r="O44" s="125">
        <f t="shared" si="11"/>
        <v>0</v>
      </c>
      <c r="P44" s="125">
        <f t="shared" si="12"/>
        <v>0</v>
      </c>
      <c r="Q44" s="125">
        <f t="shared" si="13"/>
        <v>0</v>
      </c>
      <c r="R44" s="125">
        <f t="shared" si="14"/>
        <v>0</v>
      </c>
    </row>
    <row r="45" spans="1:18" x14ac:dyDescent="0.2">
      <c r="A45" s="32"/>
      <c r="B45" s="32"/>
      <c r="C45" s="33"/>
      <c r="D45" s="131" t="str">
        <f>IFERROR(VLOOKUP(B45,$A$54:$C$64,3,0),"")</f>
        <v/>
      </c>
      <c r="E45" s="132">
        <f t="shared" si="0"/>
        <v>0</v>
      </c>
      <c r="G45" s="138">
        <f>IF(OR(B27=$A$54),E27,0)</f>
        <v>0</v>
      </c>
      <c r="H45" s="125">
        <f>IF(OR(B45=$A$54),E45,0)</f>
        <v>0</v>
      </c>
      <c r="I45" s="125">
        <f>IF(OR(B45=$A$55),E45,0)</f>
        <v>0</v>
      </c>
      <c r="J45" s="125">
        <f>IF(OR(B45=$A$56),E45,0)</f>
        <v>0</v>
      </c>
      <c r="K45" s="125">
        <f>IF(OR(B45=$A$57),E45,0)</f>
        <v>0</v>
      </c>
      <c r="L45" s="125">
        <f>IF(OR(B45=$A$58),E45,0)</f>
        <v>0</v>
      </c>
      <c r="M45" s="125">
        <f>IF(OR(B45=$A$59),E45,0)</f>
        <v>0</v>
      </c>
      <c r="N45" s="125">
        <f>IF(OR(B45=$A$60),E45,0)</f>
        <v>0</v>
      </c>
      <c r="O45" s="125">
        <f>IF(OR(B45=$A$61),E45,0)</f>
        <v>0</v>
      </c>
      <c r="P45" s="125">
        <f>IF(OR(B45=$A$62),E45,0)</f>
        <v>0</v>
      </c>
      <c r="Q45" s="125">
        <f>IF(OR(B45=$A$63),E45,0)</f>
        <v>0</v>
      </c>
      <c r="R45" s="125">
        <f>IF(OR(B45=$A$64),E45,0)</f>
        <v>0</v>
      </c>
    </row>
    <row r="46" spans="1:18" x14ac:dyDescent="0.2">
      <c r="A46" s="32"/>
      <c r="B46" s="32"/>
      <c r="C46" s="33"/>
      <c r="D46" s="131" t="str">
        <f>IFERROR(VLOOKUP(B46,$A$54:$C$64,3,0),"")</f>
        <v/>
      </c>
      <c r="E46" s="132">
        <f t="shared" ref="E46:E50" si="15">IFERROR(C46*D46,0)</f>
        <v>0</v>
      </c>
      <c r="G46" s="138">
        <f>IF(OR(B28=$A$54),E28,0)</f>
        <v>0</v>
      </c>
      <c r="H46" s="125">
        <f>IF(OR(B46=$A$54),E46,0)</f>
        <v>0</v>
      </c>
      <c r="I46" s="125">
        <f>IF(OR(B46=$A$55),E46,0)</f>
        <v>0</v>
      </c>
      <c r="J46" s="125">
        <f>IF(OR(B46=$A$56),E46,0)</f>
        <v>0</v>
      </c>
      <c r="K46" s="125">
        <f>IF(OR(B46=$A$57),E46,0)</f>
        <v>0</v>
      </c>
      <c r="L46" s="125">
        <f>IF(OR(B46=$A$58),E46,0)</f>
        <v>0</v>
      </c>
      <c r="M46" s="125">
        <f>IF(OR(B46=$A$59),E46,0)</f>
        <v>0</v>
      </c>
      <c r="N46" s="125">
        <f>IF(OR(B46=$A$60),E46,0)</f>
        <v>0</v>
      </c>
      <c r="O46" s="125">
        <f>IF(OR(B46=$A$61),E46,0)</f>
        <v>0</v>
      </c>
      <c r="P46" s="125">
        <f>IF(OR(B46=$A$62),E46,0)</f>
        <v>0</v>
      </c>
      <c r="Q46" s="125">
        <f>IF(OR(B46=$A$63),E46,0)</f>
        <v>0</v>
      </c>
      <c r="R46" s="125">
        <f>IF(OR(B46=$A$64),E46,0)</f>
        <v>0</v>
      </c>
    </row>
    <row r="47" spans="1:18" x14ac:dyDescent="0.2">
      <c r="A47" s="32"/>
      <c r="B47" s="32"/>
      <c r="C47" s="33"/>
      <c r="D47" s="131" t="str">
        <f>IFERROR(VLOOKUP(B47,$A$54:$C$64,3,0),"")</f>
        <v/>
      </c>
      <c r="E47" s="132">
        <f t="shared" si="15"/>
        <v>0</v>
      </c>
      <c r="G47" s="138">
        <f>IF(OR(B29=$A$54),E29,0)</f>
        <v>0</v>
      </c>
      <c r="H47" s="125">
        <f>IF(OR(B47=$A$54),E47,0)</f>
        <v>0</v>
      </c>
      <c r="I47" s="125">
        <f>IF(OR(B47=$A$55),E47,0)</f>
        <v>0</v>
      </c>
      <c r="J47" s="125">
        <f>IF(OR(B47=$A$56),E47,0)</f>
        <v>0</v>
      </c>
      <c r="K47" s="125">
        <f>IF(OR(B47=$A$57),E47,0)</f>
        <v>0</v>
      </c>
      <c r="L47" s="125">
        <f>IF(OR(B47=$A$58),E47,0)</f>
        <v>0</v>
      </c>
      <c r="M47" s="125">
        <f>IF(OR(B47=$A$59),E47,0)</f>
        <v>0</v>
      </c>
      <c r="N47" s="125">
        <f>IF(OR(B47=$A$60),E47,0)</f>
        <v>0</v>
      </c>
      <c r="O47" s="125">
        <f>IF(OR(B47=$A$61),E47,0)</f>
        <v>0</v>
      </c>
      <c r="P47" s="125">
        <f>IF(OR(B47=$A$62),E47,0)</f>
        <v>0</v>
      </c>
      <c r="Q47" s="125">
        <f>IF(OR(B47=$A$63),E47,0)</f>
        <v>0</v>
      </c>
      <c r="R47" s="125">
        <f>IF(OR(B47=$A$64),E47,0)</f>
        <v>0</v>
      </c>
    </row>
    <row r="48" spans="1:18" x14ac:dyDescent="0.2">
      <c r="A48" s="32"/>
      <c r="B48" s="32"/>
      <c r="C48" s="33"/>
      <c r="D48" s="131" t="str">
        <f>IFERROR(VLOOKUP(B48,$A$54:$C$64,3,0),"")</f>
        <v/>
      </c>
      <c r="E48" s="132">
        <f t="shared" si="15"/>
        <v>0</v>
      </c>
      <c r="G48" s="138">
        <f>IF(OR(B30=$A$54),E30,0)</f>
        <v>0</v>
      </c>
      <c r="H48" s="125">
        <f>IF(OR(B48=$A$54),E48,0)</f>
        <v>0</v>
      </c>
      <c r="I48" s="125">
        <f>IF(OR(B48=$A$55),E48,0)</f>
        <v>0</v>
      </c>
      <c r="J48" s="125">
        <f>IF(OR(B48=$A$56),E48,0)</f>
        <v>0</v>
      </c>
      <c r="K48" s="125">
        <f>IF(OR(B48=$A$57),E48,0)</f>
        <v>0</v>
      </c>
      <c r="L48" s="125">
        <f>IF(OR(B48=$A$58),E48,0)</f>
        <v>0</v>
      </c>
      <c r="M48" s="125">
        <f>IF(OR(B48=$A$59),E48,0)</f>
        <v>0</v>
      </c>
      <c r="N48" s="125">
        <f>IF(OR(B48=$A$60),E48,0)</f>
        <v>0</v>
      </c>
      <c r="O48" s="125">
        <f>IF(OR(B48=$A$61),E48,0)</f>
        <v>0</v>
      </c>
      <c r="P48" s="125">
        <f>IF(OR(B48=$A$62),E48,0)</f>
        <v>0</v>
      </c>
      <c r="Q48" s="125">
        <f>IF(OR(B48=$A$63),E48,0)</f>
        <v>0</v>
      </c>
      <c r="R48" s="125">
        <f>IF(OR(B48=$A$64),E48,0)</f>
        <v>0</v>
      </c>
    </row>
    <row r="49" spans="1:19" x14ac:dyDescent="0.2">
      <c r="A49" s="32"/>
      <c r="B49" s="32"/>
      <c r="C49" s="33"/>
      <c r="D49" s="131" t="str">
        <f>IFERROR(VLOOKUP(B49,$A$54:$C$64,3,0),"")</f>
        <v/>
      </c>
      <c r="E49" s="132">
        <f t="shared" si="15"/>
        <v>0</v>
      </c>
      <c r="G49" s="138">
        <f>IF(OR(B31=$A$54),E31,0)</f>
        <v>0</v>
      </c>
      <c r="H49" s="125">
        <f>IF(OR(B49=$A$54),E49,0)</f>
        <v>0</v>
      </c>
      <c r="I49" s="125">
        <f>IF(OR(B49=$A$55),E49,0)</f>
        <v>0</v>
      </c>
      <c r="J49" s="125">
        <f>IF(OR(B49=$A$56),E49,0)</f>
        <v>0</v>
      </c>
      <c r="K49" s="125">
        <f>IF(OR(B49=$A$57),E49,0)</f>
        <v>0</v>
      </c>
      <c r="L49" s="125">
        <f>IF(OR(B49=$A$58),E49,0)</f>
        <v>0</v>
      </c>
      <c r="M49" s="125">
        <f>IF(OR(B49=$A$59),E49,0)</f>
        <v>0</v>
      </c>
      <c r="N49" s="125">
        <f>IF(OR(B49=$A$60),E49,0)</f>
        <v>0</v>
      </c>
      <c r="O49" s="125">
        <f>IF(OR(B49=$A$61),E49,0)</f>
        <v>0</v>
      </c>
      <c r="P49" s="125">
        <f>IF(OR(B49=$A$62),E49,0)</f>
        <v>0</v>
      </c>
      <c r="Q49" s="125">
        <f>IF(OR(B49=$A$63),E49,0)</f>
        <v>0</v>
      </c>
      <c r="R49" s="125">
        <f>IF(OR(B49=$A$64),E49,0)</f>
        <v>0</v>
      </c>
    </row>
    <row r="50" spans="1:19" ht="15" customHeight="1" x14ac:dyDescent="0.2">
      <c r="A50" s="32"/>
      <c r="B50" s="32"/>
      <c r="C50" s="33"/>
      <c r="D50" s="131" t="str">
        <f>IFERROR(VLOOKUP(B50,$A$54:$C$64,3,0),"")</f>
        <v/>
      </c>
      <c r="E50" s="132">
        <f t="shared" si="15"/>
        <v>0</v>
      </c>
      <c r="G50" s="138">
        <f>IF(OR(B32=$A$54),E32,0)</f>
        <v>0</v>
      </c>
      <c r="H50" s="125">
        <f>IF(OR(B50=$A$54),E50,0)</f>
        <v>0</v>
      </c>
      <c r="I50" s="125">
        <f>IF(OR(B50=$A$55),E50,0)</f>
        <v>0</v>
      </c>
      <c r="J50" s="125">
        <f>IF(OR(B50=$A$56),E50,0)</f>
        <v>0</v>
      </c>
      <c r="K50" s="125">
        <f>IF(OR(B50=$A$57),E50,0)</f>
        <v>0</v>
      </c>
      <c r="L50" s="125">
        <f>IF(OR(B50=$A$58),E50,0)</f>
        <v>0</v>
      </c>
      <c r="M50" s="125">
        <f>IF(OR(B50=$A$59),E50,0)</f>
        <v>0</v>
      </c>
      <c r="N50" s="125">
        <f>IF(OR(B50=$A$60),E50,0)</f>
        <v>0</v>
      </c>
      <c r="O50" s="125">
        <f>IF(OR(B50=$A$61),E50,0)</f>
        <v>0</v>
      </c>
      <c r="P50" s="125">
        <f>IF(OR(B50=$A$62),E50,0)</f>
        <v>0</v>
      </c>
      <c r="Q50" s="125">
        <f>IF(OR(B50=$A$63),E50,0)</f>
        <v>0</v>
      </c>
      <c r="R50" s="125">
        <f>IF(OR(B50=$A$64),E50,0)</f>
        <v>0</v>
      </c>
    </row>
    <row r="51" spans="1:19" ht="16" x14ac:dyDescent="0.2">
      <c r="A51" s="234" t="s">
        <v>73</v>
      </c>
      <c r="B51" s="234"/>
      <c r="C51" s="234"/>
      <c r="D51" s="234"/>
      <c r="E51" s="139">
        <f>SUM(E7:E50)</f>
        <v>237163.40000000008</v>
      </c>
      <c r="G51" s="138">
        <f>IF(OR(B45=$A$54),E45,0)</f>
        <v>0</v>
      </c>
      <c r="H51" s="125">
        <f t="shared" ref="H51:R51" si="16">SUM(H7:H50)</f>
        <v>23871.360000000001</v>
      </c>
      <c r="I51" s="125">
        <f t="shared" si="16"/>
        <v>16151.039999999999</v>
      </c>
      <c r="J51" s="125">
        <f t="shared" si="16"/>
        <v>10889.28</v>
      </c>
      <c r="K51" s="125">
        <f t="shared" si="16"/>
        <v>0</v>
      </c>
      <c r="L51" s="125">
        <f t="shared" si="16"/>
        <v>25720.080000000002</v>
      </c>
      <c r="M51" s="125">
        <f t="shared" si="16"/>
        <v>25720.080000000002</v>
      </c>
      <c r="N51" s="125">
        <f t="shared" si="16"/>
        <v>25720.080000000002</v>
      </c>
      <c r="O51" s="125">
        <f t="shared" si="16"/>
        <v>24866</v>
      </c>
      <c r="P51" s="125">
        <f t="shared" si="16"/>
        <v>37299</v>
      </c>
      <c r="Q51" s="125">
        <f t="shared" si="16"/>
        <v>25720.080000000002</v>
      </c>
      <c r="R51" s="125">
        <f t="shared" si="16"/>
        <v>21206.400000000001</v>
      </c>
      <c r="S51" s="126">
        <f>SUM(H51:R51)</f>
        <v>237163.4</v>
      </c>
    </row>
    <row r="52" spans="1:19" x14ac:dyDescent="0.2">
      <c r="G52" s="138">
        <f>IF(OR(B46=$A$54),E46,0)</f>
        <v>0</v>
      </c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</row>
    <row r="53" spans="1:19" ht="31.5" customHeight="1" x14ac:dyDescent="0.2">
      <c r="A53" s="142" t="s">
        <v>74</v>
      </c>
      <c r="B53" s="142" t="s">
        <v>429</v>
      </c>
      <c r="C53" s="238" t="s">
        <v>430</v>
      </c>
      <c r="D53" s="238"/>
      <c r="G53" s="138">
        <f>IF(OR(B47=$A$54),E47,0)</f>
        <v>0</v>
      </c>
      <c r="I53" s="141"/>
      <c r="J53" s="141"/>
      <c r="K53" s="141"/>
      <c r="L53" s="141"/>
      <c r="M53" s="141"/>
      <c r="N53" s="141"/>
      <c r="O53" s="141"/>
      <c r="P53" s="141"/>
      <c r="Q53" s="141"/>
      <c r="R53" s="141"/>
    </row>
    <row r="54" spans="1:19" ht="16" x14ac:dyDescent="0.2">
      <c r="A54" s="34" t="s">
        <v>56</v>
      </c>
      <c r="B54" s="143">
        <f>4*'Valores Referenciais'!C5</f>
        <v>497.32</v>
      </c>
      <c r="C54" s="284">
        <f>ROUNDUP(B54/2,2)</f>
        <v>248.66</v>
      </c>
      <c r="D54" s="284"/>
      <c r="E54" s="78"/>
      <c r="G54" s="138">
        <f>IF(OR(B48=$A$54),E48,0)</f>
        <v>0</v>
      </c>
      <c r="I54" s="141"/>
      <c r="J54" s="141"/>
      <c r="K54" s="141"/>
      <c r="L54" s="141"/>
      <c r="M54" s="141"/>
      <c r="N54" s="141"/>
      <c r="O54" s="141"/>
      <c r="P54" s="141"/>
      <c r="Q54" s="141"/>
      <c r="R54" s="141"/>
    </row>
    <row r="55" spans="1:19" x14ac:dyDescent="0.2">
      <c r="A55" s="34" t="s">
        <v>55</v>
      </c>
      <c r="B55" s="143">
        <f>4*'Valores Referenciais'!C6</f>
        <v>224.32</v>
      </c>
      <c r="C55" s="285">
        <f>ROUNDUP(B55,2)</f>
        <v>224.32</v>
      </c>
      <c r="D55" s="286"/>
      <c r="G55" s="138">
        <f>IF(OR(B49=$A$54),E49,0)</f>
        <v>0</v>
      </c>
      <c r="I55" s="141"/>
      <c r="J55" s="141"/>
      <c r="K55" s="141"/>
      <c r="L55" s="141"/>
      <c r="M55" s="141"/>
      <c r="N55" s="141"/>
      <c r="O55" s="141"/>
      <c r="P55" s="141"/>
      <c r="Q55" s="141"/>
      <c r="R55" s="141"/>
    </row>
    <row r="56" spans="1:19" x14ac:dyDescent="0.2">
      <c r="A56" s="34" t="s">
        <v>68</v>
      </c>
      <c r="B56" s="143">
        <f>4*'Valores Referenciais'!C7</f>
        <v>151.23999999999998</v>
      </c>
      <c r="C56" s="284">
        <f>ROUNDUP(B56,2)</f>
        <v>151.24</v>
      </c>
      <c r="D56" s="284"/>
      <c r="G56" s="138">
        <f>IF(OR(B50=$A$54),E50,0)</f>
        <v>0</v>
      </c>
      <c r="I56" s="141"/>
      <c r="J56" s="141"/>
      <c r="K56" s="141"/>
      <c r="L56" s="141"/>
      <c r="M56" s="141"/>
      <c r="N56" s="141"/>
      <c r="O56" s="141"/>
      <c r="P56" s="141"/>
      <c r="Q56" s="141"/>
      <c r="R56" s="141"/>
    </row>
    <row r="57" spans="1:19" x14ac:dyDescent="0.2">
      <c r="A57" s="34" t="s">
        <v>75</v>
      </c>
      <c r="B57" s="143">
        <f>4*'Valores Referenciais'!C8</f>
        <v>125.16000000000001</v>
      </c>
      <c r="C57" s="284">
        <f>ROUNDUP(B57,2)</f>
        <v>125.16</v>
      </c>
      <c r="D57" s="284"/>
      <c r="G57" s="138">
        <f>SUM(G15:G56)</f>
        <v>5967.84</v>
      </c>
      <c r="I57" s="141"/>
      <c r="J57" s="141"/>
      <c r="K57" s="141"/>
      <c r="L57" s="141"/>
      <c r="M57" s="141"/>
      <c r="N57" s="141"/>
      <c r="O57" s="141"/>
      <c r="P57" s="141"/>
      <c r="Q57" s="141"/>
      <c r="R57" s="141"/>
    </row>
    <row r="58" spans="1:19" x14ac:dyDescent="0.2">
      <c r="A58" s="34" t="s">
        <v>69</v>
      </c>
      <c r="B58" s="143">
        <f>'Valores Referenciais'!C10</f>
        <v>1071.67</v>
      </c>
      <c r="C58" s="284">
        <f>ROUNDUP(B58,2)</f>
        <v>1071.67</v>
      </c>
      <c r="D58" s="284"/>
    </row>
    <row r="59" spans="1:19" x14ac:dyDescent="0.2">
      <c r="A59" s="34" t="s">
        <v>70</v>
      </c>
      <c r="B59" s="143">
        <f>'Valores Referenciais'!C10</f>
        <v>1071.67</v>
      </c>
      <c r="C59" s="284">
        <f>ROUNDUP(B59,2)</f>
        <v>1071.67</v>
      </c>
      <c r="D59" s="284"/>
    </row>
    <row r="60" spans="1:19" x14ac:dyDescent="0.2">
      <c r="A60" s="34" t="s">
        <v>71</v>
      </c>
      <c r="B60" s="143">
        <f>'Valores Referenciais'!C10</f>
        <v>1071.67</v>
      </c>
      <c r="C60" s="284">
        <f>ROUNDUP(B60,2)</f>
        <v>1071.67</v>
      </c>
      <c r="D60" s="284"/>
    </row>
    <row r="61" spans="1:19" x14ac:dyDescent="0.2">
      <c r="A61" s="34" t="s">
        <v>72</v>
      </c>
      <c r="B61" s="143">
        <f>4*'Valores Referenciais'!C5</f>
        <v>497.32</v>
      </c>
      <c r="C61" s="284">
        <f>ROUNDUP(B61,2)</f>
        <v>497.32</v>
      </c>
      <c r="D61" s="284"/>
    </row>
    <row r="62" spans="1:19" x14ac:dyDescent="0.2">
      <c r="A62" s="34" t="s">
        <v>76</v>
      </c>
      <c r="B62" s="143">
        <f>3*'Valores Referenciais'!C5</f>
        <v>372.99</v>
      </c>
      <c r="C62" s="284">
        <f>ROUNDUP(B62,2)</f>
        <v>372.99</v>
      </c>
      <c r="D62" s="284"/>
    </row>
    <row r="63" spans="1:19" x14ac:dyDescent="0.2">
      <c r="A63" s="34" t="s">
        <v>77</v>
      </c>
      <c r="B63" s="143">
        <f>'Valores Referenciais'!C10</f>
        <v>1071.67</v>
      </c>
      <c r="C63" s="284">
        <f>ROUNDUP(B63,2)</f>
        <v>1071.67</v>
      </c>
      <c r="D63" s="284"/>
    </row>
    <row r="64" spans="1:19" x14ac:dyDescent="0.2">
      <c r="A64" s="34" t="s">
        <v>78</v>
      </c>
      <c r="B64" s="143">
        <f>4*110.45</f>
        <v>441.8</v>
      </c>
      <c r="C64" s="284">
        <f>ROUNDUP(B64,2)</f>
        <v>441.8</v>
      </c>
      <c r="D64" s="284"/>
    </row>
  </sheetData>
  <sheetProtection sheet="1" objects="1" scenarios="1"/>
  <mergeCells count="17">
    <mergeCell ref="C53:D53"/>
    <mergeCell ref="C54:D54"/>
    <mergeCell ref="C55:D55"/>
    <mergeCell ref="C56:D56"/>
    <mergeCell ref="C57:D57"/>
    <mergeCell ref="C63:D63"/>
    <mergeCell ref="C64:D64"/>
    <mergeCell ref="C58:D58"/>
    <mergeCell ref="C59:D59"/>
    <mergeCell ref="C60:D60"/>
    <mergeCell ref="C61:D61"/>
    <mergeCell ref="C62:D62"/>
    <mergeCell ref="A2:E2"/>
    <mergeCell ref="A4:E4"/>
    <mergeCell ref="A5:E5"/>
    <mergeCell ref="A51:D51"/>
    <mergeCell ref="A3:E3"/>
  </mergeCells>
  <dataValidations count="2">
    <dataValidation type="list" allowBlank="1" showInputMessage="1" showErrorMessage="1" sqref="B7:B50" xr:uid="{00000000-0002-0000-0100-000000000000}">
      <formula1>$A$54:$A$64</formula1>
      <formula2>0</formula2>
    </dataValidation>
    <dataValidation type="decimal" showInputMessage="1" showErrorMessage="1" sqref="C54:D64" xr:uid="{490DD260-478E-5246-9CC5-98B7B59599BC}">
      <formula1>0</formula1>
      <formula2>B54</formula2>
    </dataValidation>
  </dataValidations>
  <pageMargins left="0.51180555555555496" right="0.51180555555555496" top="0.78749999999999998" bottom="0.78749999999999998" header="0.51180555555555496" footer="0.51180555555555496"/>
  <pageSetup paperSize="9" scale="56" firstPageNumber="0" orientation="portrait" horizontalDpi="300" verticalDpi="300"/>
  <ignoredErrors>
    <ignoredError sqref="C54:C64" unlockedFormula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71"/>
  <sheetViews>
    <sheetView topLeftCell="A28" zoomScale="130" zoomScaleNormal="130" workbookViewId="0">
      <selection activeCell="E51" sqref="E51"/>
    </sheetView>
  </sheetViews>
  <sheetFormatPr baseColWidth="10" defaultColWidth="8.83203125" defaultRowHeight="15" x14ac:dyDescent="0.2"/>
  <cols>
    <col min="1" max="1" width="38.6640625" style="2" customWidth="1"/>
    <col min="2" max="2" width="53.5" style="2" customWidth="1"/>
    <col min="3" max="3" width="19" style="2" customWidth="1"/>
    <col min="4" max="5" width="17.5" style="2" customWidth="1"/>
    <col min="6" max="6" width="16.5" style="2" customWidth="1"/>
    <col min="7" max="256" width="12.5" style="2" customWidth="1"/>
    <col min="257" max="257" width="24.5" style="2" customWidth="1"/>
    <col min="258" max="258" width="13.83203125" style="2" customWidth="1"/>
    <col min="259" max="259" width="65.1640625" style="2" customWidth="1"/>
    <col min="260" max="261" width="17.5" style="2" customWidth="1"/>
    <col min="262" max="262" width="16.5" style="2" customWidth="1"/>
    <col min="263" max="512" width="12.5" style="2" customWidth="1"/>
    <col min="513" max="513" width="24.5" style="2" customWidth="1"/>
    <col min="514" max="514" width="13.83203125" style="2" customWidth="1"/>
    <col min="515" max="515" width="65.1640625" style="2" customWidth="1"/>
    <col min="516" max="517" width="17.5" style="2" customWidth="1"/>
    <col min="518" max="518" width="16.5" style="2" customWidth="1"/>
    <col min="519" max="768" width="12.5" style="2" customWidth="1"/>
    <col min="769" max="769" width="24.5" style="2" customWidth="1"/>
    <col min="770" max="770" width="13.83203125" style="2" customWidth="1"/>
    <col min="771" max="771" width="65.1640625" style="2" customWidth="1"/>
    <col min="772" max="773" width="17.5" style="2" customWidth="1"/>
    <col min="774" max="774" width="16.5" style="2" customWidth="1"/>
    <col min="775" max="1025" width="12.5" style="2" customWidth="1"/>
  </cols>
  <sheetData>
    <row r="1" spans="1:6" s="29" customFormat="1" ht="15.75" customHeight="1" x14ac:dyDescent="0.2">
      <c r="A1" s="35" t="s">
        <v>79</v>
      </c>
      <c r="C1" s="36"/>
      <c r="D1" s="36"/>
      <c r="E1" s="36"/>
      <c r="F1" s="36"/>
    </row>
    <row r="2" spans="1:6" s="29" customFormat="1" ht="15.75" customHeight="1" x14ac:dyDescent="0.2">
      <c r="A2" s="231" t="s">
        <v>80</v>
      </c>
      <c r="B2" s="231"/>
      <c r="C2" s="231"/>
      <c r="D2" s="231"/>
      <c r="E2" s="231"/>
      <c r="F2" s="36"/>
    </row>
    <row r="3" spans="1:6" s="29" customFormat="1" ht="16" x14ac:dyDescent="0.2">
      <c r="A3" s="235" t="str">
        <f>'Custo do Curso'!B5</f>
        <v>Nome Projeto</v>
      </c>
      <c r="B3" s="236"/>
      <c r="C3" s="236"/>
      <c r="D3" s="236"/>
      <c r="E3" s="237"/>
      <c r="F3" s="144"/>
    </row>
    <row r="4" spans="1:6" s="29" customFormat="1" ht="16" x14ac:dyDescent="0.2">
      <c r="A4" s="240"/>
      <c r="B4" s="240"/>
      <c r="C4" s="240"/>
      <c r="D4" s="240"/>
      <c r="E4" s="240"/>
    </row>
    <row r="5" spans="1:6" s="29" customFormat="1" ht="18" x14ac:dyDescent="0.2">
      <c r="A5" s="239" t="s">
        <v>81</v>
      </c>
      <c r="B5" s="239"/>
      <c r="C5" s="239"/>
      <c r="D5" s="239"/>
      <c r="E5" s="239"/>
    </row>
    <row r="6" spans="1:6" s="29" customFormat="1" ht="34" x14ac:dyDescent="0.2">
      <c r="A6" s="30" t="s">
        <v>82</v>
      </c>
      <c r="B6" s="31" t="s">
        <v>83</v>
      </c>
      <c r="C6" s="30" t="s">
        <v>84</v>
      </c>
      <c r="D6" s="31" t="s">
        <v>85</v>
      </c>
      <c r="E6" s="31" t="s">
        <v>54</v>
      </c>
    </row>
    <row r="7" spans="1:6" ht="16" x14ac:dyDescent="0.2">
      <c r="A7" s="32" t="s">
        <v>260</v>
      </c>
      <c r="B7" s="37" t="s">
        <v>283</v>
      </c>
      <c r="C7" s="37">
        <v>24</v>
      </c>
      <c r="D7" s="146">
        <f>Servidores!$C$54</f>
        <v>248.66</v>
      </c>
      <c r="E7" s="38">
        <f>D7*C7</f>
        <v>5967.84</v>
      </c>
    </row>
    <row r="8" spans="1:6" ht="31" x14ac:dyDescent="0.2">
      <c r="A8" s="32" t="s">
        <v>271</v>
      </c>
      <c r="B8" s="37" t="s">
        <v>280</v>
      </c>
      <c r="C8" s="37">
        <v>24</v>
      </c>
      <c r="D8" s="146">
        <f>Servidores!$C$54</f>
        <v>248.66</v>
      </c>
      <c r="E8" s="38">
        <f t="shared" ref="E8:E25" si="0">C8*D8</f>
        <v>5967.84</v>
      </c>
    </row>
    <row r="9" spans="1:6" ht="16" x14ac:dyDescent="0.2">
      <c r="A9" s="32" t="s">
        <v>428</v>
      </c>
      <c r="B9" s="37" t="s">
        <v>279</v>
      </c>
      <c r="C9" s="37">
        <v>24</v>
      </c>
      <c r="D9" s="146">
        <f>Servidores!$C$54</f>
        <v>248.66</v>
      </c>
      <c r="E9" s="38">
        <f t="shared" si="0"/>
        <v>5967.84</v>
      </c>
    </row>
    <row r="10" spans="1:6" ht="16" x14ac:dyDescent="0.2">
      <c r="A10" s="32" t="s">
        <v>272</v>
      </c>
      <c r="B10" s="37" t="s">
        <v>236</v>
      </c>
      <c r="C10" s="37">
        <v>24</v>
      </c>
      <c r="D10" s="146">
        <f>Servidores!$C$54</f>
        <v>248.66</v>
      </c>
      <c r="E10" s="38">
        <f t="shared" si="0"/>
        <v>5967.84</v>
      </c>
    </row>
    <row r="11" spans="1:6" x14ac:dyDescent="0.2">
      <c r="A11" s="32"/>
      <c r="B11" s="37"/>
      <c r="C11" s="37"/>
      <c r="D11" s="37"/>
      <c r="E11" s="38">
        <f t="shared" ref="E11:E21" si="1">C11*D11</f>
        <v>0</v>
      </c>
    </row>
    <row r="12" spans="1:6" x14ac:dyDescent="0.2">
      <c r="A12" s="32"/>
      <c r="B12" s="37"/>
      <c r="C12" s="37"/>
      <c r="D12" s="37"/>
      <c r="E12" s="38">
        <f t="shared" si="1"/>
        <v>0</v>
      </c>
    </row>
    <row r="13" spans="1:6" x14ac:dyDescent="0.2">
      <c r="A13" s="32"/>
      <c r="B13" s="37"/>
      <c r="C13" s="37"/>
      <c r="D13" s="37"/>
      <c r="E13" s="38">
        <f t="shared" si="1"/>
        <v>0</v>
      </c>
    </row>
    <row r="14" spans="1:6" x14ac:dyDescent="0.2">
      <c r="A14" s="32"/>
      <c r="B14" s="37"/>
      <c r="C14" s="37"/>
      <c r="D14" s="37"/>
      <c r="E14" s="38">
        <f t="shared" si="1"/>
        <v>0</v>
      </c>
    </row>
    <row r="15" spans="1:6" x14ac:dyDescent="0.2">
      <c r="A15" s="32"/>
      <c r="B15" s="37"/>
      <c r="C15" s="37"/>
      <c r="D15" s="37"/>
      <c r="E15" s="38">
        <f t="shared" si="1"/>
        <v>0</v>
      </c>
    </row>
    <row r="16" spans="1:6" x14ac:dyDescent="0.2">
      <c r="A16" s="32"/>
      <c r="B16" s="37"/>
      <c r="C16" s="37"/>
      <c r="D16" s="37"/>
      <c r="E16" s="38">
        <f t="shared" si="1"/>
        <v>0</v>
      </c>
    </row>
    <row r="17" spans="1:5" x14ac:dyDescent="0.2">
      <c r="A17" s="32"/>
      <c r="B17" s="37"/>
      <c r="C17" s="37"/>
      <c r="D17" s="37"/>
      <c r="E17" s="38">
        <f t="shared" si="1"/>
        <v>0</v>
      </c>
    </row>
    <row r="18" spans="1:5" x14ac:dyDescent="0.2">
      <c r="A18" s="32"/>
      <c r="B18" s="37"/>
      <c r="C18" s="37"/>
      <c r="D18" s="37"/>
      <c r="E18" s="38">
        <f t="shared" si="1"/>
        <v>0</v>
      </c>
    </row>
    <row r="19" spans="1:5" x14ac:dyDescent="0.2">
      <c r="A19" s="32"/>
      <c r="B19" s="37"/>
      <c r="C19" s="37"/>
      <c r="D19" s="37"/>
      <c r="E19" s="38">
        <f t="shared" si="1"/>
        <v>0</v>
      </c>
    </row>
    <row r="20" spans="1:5" x14ac:dyDescent="0.2">
      <c r="A20" s="32"/>
      <c r="B20" s="37"/>
      <c r="C20" s="37"/>
      <c r="D20" s="37"/>
      <c r="E20" s="38">
        <f t="shared" si="1"/>
        <v>0</v>
      </c>
    </row>
    <row r="21" spans="1:5" x14ac:dyDescent="0.2">
      <c r="A21" s="32"/>
      <c r="B21" s="37"/>
      <c r="C21" s="37"/>
      <c r="D21" s="37"/>
      <c r="E21" s="38">
        <f t="shared" si="1"/>
        <v>0</v>
      </c>
    </row>
    <row r="22" spans="1:5" x14ac:dyDescent="0.2">
      <c r="A22" s="32"/>
      <c r="B22" s="37"/>
      <c r="C22" s="37"/>
      <c r="D22" s="37"/>
      <c r="E22" s="38">
        <f t="shared" si="0"/>
        <v>0</v>
      </c>
    </row>
    <row r="23" spans="1:5" x14ac:dyDescent="0.2">
      <c r="A23" s="32"/>
      <c r="B23" s="37"/>
      <c r="C23" s="37"/>
      <c r="D23" s="37"/>
      <c r="E23" s="38">
        <f t="shared" si="0"/>
        <v>0</v>
      </c>
    </row>
    <row r="24" spans="1:5" x14ac:dyDescent="0.2">
      <c r="A24" s="32"/>
      <c r="B24" s="37"/>
      <c r="C24" s="37"/>
      <c r="D24" s="37"/>
      <c r="E24" s="38">
        <f t="shared" si="0"/>
        <v>0</v>
      </c>
    </row>
    <row r="25" spans="1:5" x14ac:dyDescent="0.2">
      <c r="A25" s="32"/>
      <c r="B25" s="37"/>
      <c r="C25" s="37"/>
      <c r="D25" s="37"/>
      <c r="E25" s="38">
        <f t="shared" si="0"/>
        <v>0</v>
      </c>
    </row>
    <row r="26" spans="1:5" ht="16" x14ac:dyDescent="0.2">
      <c r="A26" s="234" t="s">
        <v>73</v>
      </c>
      <c r="B26" s="234"/>
      <c r="C26" s="234"/>
      <c r="D26" s="234"/>
      <c r="E26" s="145">
        <f>SUM(E7:E25)</f>
        <v>23871.360000000001</v>
      </c>
    </row>
    <row r="28" spans="1:5" ht="18" x14ac:dyDescent="0.2">
      <c r="A28" s="239" t="s">
        <v>86</v>
      </c>
      <c r="B28" s="239"/>
      <c r="C28" s="239"/>
      <c r="D28" s="239"/>
      <c r="E28" s="239"/>
    </row>
    <row r="29" spans="1:5" ht="34" x14ac:dyDescent="0.2">
      <c r="A29" s="30" t="s">
        <v>82</v>
      </c>
      <c r="B29" s="31" t="s">
        <v>83</v>
      </c>
      <c r="C29" s="30" t="s">
        <v>84</v>
      </c>
      <c r="D29" s="31" t="s">
        <v>85</v>
      </c>
      <c r="E29" s="31" t="s">
        <v>54</v>
      </c>
    </row>
    <row r="30" spans="1:5" x14ac:dyDescent="0.2">
      <c r="A30" s="32" t="s">
        <v>56</v>
      </c>
      <c r="B30" s="32" t="s">
        <v>56</v>
      </c>
      <c r="C30" s="32">
        <v>24</v>
      </c>
      <c r="D30" s="146">
        <f>IFERROR(VLOOKUP(B30,Servidores!$A$54:$C$64,3,0),"")</f>
        <v>248.66</v>
      </c>
      <c r="E30" s="38">
        <f>IFERROR(C30*D30,0)</f>
        <v>5967.84</v>
      </c>
    </row>
    <row r="31" spans="1:5" x14ac:dyDescent="0.2">
      <c r="A31" s="32" t="s">
        <v>55</v>
      </c>
      <c r="B31" s="32" t="s">
        <v>55</v>
      </c>
      <c r="C31" s="32">
        <v>24</v>
      </c>
      <c r="D31" s="146">
        <f>IFERROR(VLOOKUP(B31,Servidores!$A$54:$C$64,3,0),"")</f>
        <v>224.32</v>
      </c>
      <c r="E31" s="38">
        <f t="shared" ref="E31:E50" si="2">IFERROR(C31*D31,0)</f>
        <v>5383.68</v>
      </c>
    </row>
    <row r="32" spans="1:5" x14ac:dyDescent="0.2">
      <c r="A32" s="32" t="s">
        <v>68</v>
      </c>
      <c r="B32" s="32" t="s">
        <v>68</v>
      </c>
      <c r="C32" s="32">
        <v>24</v>
      </c>
      <c r="D32" s="146">
        <f>IFERROR(VLOOKUP(B32,Servidores!$A$54:$C$64,3,0),"")</f>
        <v>151.24</v>
      </c>
      <c r="E32" s="38">
        <f t="shared" si="2"/>
        <v>3629.76</v>
      </c>
    </row>
    <row r="33" spans="1:5" x14ac:dyDescent="0.2">
      <c r="A33" s="147" t="s">
        <v>236</v>
      </c>
      <c r="B33" s="32" t="s">
        <v>56</v>
      </c>
      <c r="C33" s="32">
        <v>24</v>
      </c>
      <c r="D33" s="146">
        <f>IFERROR(VLOOKUP(B33,Servidores!$A$54:$C$64,3,0),"")</f>
        <v>248.66</v>
      </c>
      <c r="E33" s="38">
        <f>IFERROR(C33*D33,0)</f>
        <v>5967.84</v>
      </c>
    </row>
    <row r="34" spans="1:5" x14ac:dyDescent="0.2">
      <c r="A34" s="32" t="s">
        <v>400</v>
      </c>
      <c r="B34" s="32" t="s">
        <v>71</v>
      </c>
      <c r="C34" s="32">
        <v>12</v>
      </c>
      <c r="D34" s="146">
        <f>IFERROR(VLOOKUP(B34,Servidores!$A$54:$C$64,3,0),"")</f>
        <v>1071.67</v>
      </c>
      <c r="E34" s="38">
        <f>IFERROR(C34*D34,0)</f>
        <v>12860.04</v>
      </c>
    </row>
    <row r="35" spans="1:5" x14ac:dyDescent="0.2">
      <c r="A35" s="32" t="s">
        <v>401</v>
      </c>
      <c r="B35" s="32" t="s">
        <v>77</v>
      </c>
      <c r="C35" s="32">
        <v>12</v>
      </c>
      <c r="D35" s="146">
        <f>IFERROR(VLOOKUP(B35,Servidores!$A$54:$C$64,3,0),"")</f>
        <v>1071.67</v>
      </c>
      <c r="E35" s="38">
        <f>IFERROR(C35*D35,0)</f>
        <v>12860.04</v>
      </c>
    </row>
    <row r="36" spans="1:5" x14ac:dyDescent="0.2">
      <c r="A36" s="32"/>
      <c r="B36" s="32"/>
      <c r="C36" s="32"/>
      <c r="D36" s="146" t="str">
        <f>IFERROR(VLOOKUP(B36,Servidores!$A$54:$C$64,3,0),"")</f>
        <v/>
      </c>
      <c r="E36" s="38">
        <f t="shared" ref="E36:E47" si="3">IFERROR(C36*D36,0)</f>
        <v>0</v>
      </c>
    </row>
    <row r="37" spans="1:5" x14ac:dyDescent="0.2">
      <c r="A37" s="32"/>
      <c r="B37" s="32"/>
      <c r="C37" s="32"/>
      <c r="D37" s="146" t="str">
        <f>IFERROR(VLOOKUP(B37,Servidores!$A$54:$C$64,3,0),"")</f>
        <v/>
      </c>
      <c r="E37" s="38">
        <f t="shared" si="3"/>
        <v>0</v>
      </c>
    </row>
    <row r="38" spans="1:5" x14ac:dyDescent="0.2">
      <c r="A38" s="32"/>
      <c r="B38" s="32"/>
      <c r="C38" s="32"/>
      <c r="D38" s="146" t="str">
        <f>IFERROR(VLOOKUP(B38,Servidores!$A$54:$C$64,3,0),"")</f>
        <v/>
      </c>
      <c r="E38" s="38">
        <f t="shared" si="3"/>
        <v>0</v>
      </c>
    </row>
    <row r="39" spans="1:5" x14ac:dyDescent="0.2">
      <c r="A39" s="32"/>
      <c r="B39" s="32"/>
      <c r="C39" s="32"/>
      <c r="D39" s="146" t="str">
        <f>IFERROR(VLOOKUP(B39,Servidores!$A$54:$C$64,3,0),"")</f>
        <v/>
      </c>
      <c r="E39" s="38">
        <f t="shared" si="3"/>
        <v>0</v>
      </c>
    </row>
    <row r="40" spans="1:5" x14ac:dyDescent="0.2">
      <c r="A40" s="32"/>
      <c r="B40" s="32"/>
      <c r="C40" s="32"/>
      <c r="D40" s="146" t="str">
        <f>IFERROR(VLOOKUP(B40,Servidores!$A$54:$C$64,3,0),"")</f>
        <v/>
      </c>
      <c r="E40" s="38">
        <f t="shared" si="3"/>
        <v>0</v>
      </c>
    </row>
    <row r="41" spans="1:5" x14ac:dyDescent="0.2">
      <c r="A41" s="32"/>
      <c r="B41" s="32"/>
      <c r="C41" s="32"/>
      <c r="D41" s="146" t="str">
        <f>IFERROR(VLOOKUP(B41,Servidores!$A$54:$C$64,3,0),"")</f>
        <v/>
      </c>
      <c r="E41" s="38">
        <f t="shared" si="3"/>
        <v>0</v>
      </c>
    </row>
    <row r="42" spans="1:5" x14ac:dyDescent="0.2">
      <c r="A42" s="32"/>
      <c r="B42" s="32"/>
      <c r="C42" s="32"/>
      <c r="D42" s="146" t="str">
        <f>IFERROR(VLOOKUP(B42,Servidores!$A$54:$C$64,3,0),"")</f>
        <v/>
      </c>
      <c r="E42" s="38">
        <f t="shared" si="3"/>
        <v>0</v>
      </c>
    </row>
    <row r="43" spans="1:5" x14ac:dyDescent="0.2">
      <c r="A43" s="32"/>
      <c r="B43" s="32"/>
      <c r="C43" s="32"/>
      <c r="D43" s="146" t="str">
        <f>IFERROR(VLOOKUP(B43,Servidores!$A$54:$C$64,3,0),"")</f>
        <v/>
      </c>
      <c r="E43" s="38">
        <f t="shared" si="3"/>
        <v>0</v>
      </c>
    </row>
    <row r="44" spans="1:5" x14ac:dyDescent="0.2">
      <c r="A44" s="32"/>
      <c r="B44" s="32"/>
      <c r="C44" s="32"/>
      <c r="D44" s="146" t="str">
        <f>IFERROR(VLOOKUP(B44,Servidores!$A$54:$C$64,3,0),"")</f>
        <v/>
      </c>
      <c r="E44" s="38">
        <f t="shared" si="3"/>
        <v>0</v>
      </c>
    </row>
    <row r="45" spans="1:5" x14ac:dyDescent="0.2">
      <c r="A45" s="32"/>
      <c r="B45" s="32"/>
      <c r="C45" s="32"/>
      <c r="D45" s="146" t="str">
        <f>IFERROR(VLOOKUP(B45,Servidores!$A$54:$C$64,3,0),"")</f>
        <v/>
      </c>
      <c r="E45" s="38">
        <f t="shared" si="3"/>
        <v>0</v>
      </c>
    </row>
    <row r="46" spans="1:5" x14ac:dyDescent="0.2">
      <c r="A46" s="32"/>
      <c r="B46" s="32"/>
      <c r="C46" s="32"/>
      <c r="D46" s="146" t="str">
        <f>IFERROR(VLOOKUP(B46,Servidores!$A$54:$C$64,3,0),"")</f>
        <v/>
      </c>
      <c r="E46" s="38">
        <f t="shared" si="3"/>
        <v>0</v>
      </c>
    </row>
    <row r="47" spans="1:5" x14ac:dyDescent="0.2">
      <c r="A47" s="32"/>
      <c r="B47" s="32"/>
      <c r="C47" s="32"/>
      <c r="D47" s="146" t="str">
        <f>IFERROR(VLOOKUP(B47,Servidores!$A$54:$C$64,3,0),"")</f>
        <v/>
      </c>
      <c r="E47" s="38">
        <f t="shared" si="3"/>
        <v>0</v>
      </c>
    </row>
    <row r="48" spans="1:5" x14ac:dyDescent="0.2">
      <c r="A48" s="32"/>
      <c r="B48" s="32"/>
      <c r="C48" s="32"/>
      <c r="D48" s="146" t="str">
        <f>IFERROR(VLOOKUP(B48,Servidores!$A$54:$C$64,3,0),"")</f>
        <v/>
      </c>
      <c r="E48" s="38">
        <f t="shared" si="2"/>
        <v>0</v>
      </c>
    </row>
    <row r="49" spans="1:5" x14ac:dyDescent="0.2">
      <c r="A49" s="32"/>
      <c r="B49" s="32"/>
      <c r="C49" s="32"/>
      <c r="D49" s="146" t="str">
        <f>IFERROR(VLOOKUP(B49,Servidores!$A$54:$C$64,3,0),"")</f>
        <v/>
      </c>
      <c r="E49" s="38">
        <f t="shared" si="2"/>
        <v>0</v>
      </c>
    </row>
    <row r="50" spans="1:5" x14ac:dyDescent="0.2">
      <c r="A50" s="32"/>
      <c r="B50" s="32"/>
      <c r="C50" s="32"/>
      <c r="D50" s="146" t="str">
        <f>IFERROR(VLOOKUP(B50,Servidores!$A$54:$C$64,3,0),"")</f>
        <v/>
      </c>
      <c r="E50" s="38">
        <f t="shared" si="2"/>
        <v>0</v>
      </c>
    </row>
    <row r="51" spans="1:5" ht="16" x14ac:dyDescent="0.2">
      <c r="A51" s="234" t="s">
        <v>73</v>
      </c>
      <c r="B51" s="234"/>
      <c r="C51" s="234"/>
      <c r="D51" s="234"/>
      <c r="E51" s="39">
        <f>SUM(E30:E50)</f>
        <v>46669.200000000004</v>
      </c>
    </row>
    <row r="53" spans="1:5" ht="18" x14ac:dyDescent="0.2">
      <c r="A53" s="239" t="s">
        <v>433</v>
      </c>
      <c r="B53" s="239"/>
      <c r="C53" s="239"/>
      <c r="D53" s="239"/>
      <c r="E53" s="239"/>
    </row>
    <row r="54" spans="1:5" ht="34" x14ac:dyDescent="0.2">
      <c r="A54" s="30" t="s">
        <v>82</v>
      </c>
      <c r="B54" s="31" t="s">
        <v>83</v>
      </c>
      <c r="C54" s="30" t="s">
        <v>84</v>
      </c>
      <c r="D54" s="31" t="s">
        <v>85</v>
      </c>
      <c r="E54" s="31" t="s">
        <v>54</v>
      </c>
    </row>
    <row r="55" spans="1:5" x14ac:dyDescent="0.2">
      <c r="A55" s="32" t="s">
        <v>56</v>
      </c>
      <c r="B55" s="32" t="s">
        <v>56</v>
      </c>
      <c r="C55" s="32">
        <v>0</v>
      </c>
      <c r="D55" s="146">
        <f>IFERROR(VLOOKUP(B55,Servidores!$A$54:$C$64,3,0),"")</f>
        <v>248.66</v>
      </c>
      <c r="E55" s="38">
        <f>IFERROR(C55*D55,0)</f>
        <v>0</v>
      </c>
    </row>
    <row r="56" spans="1:5" x14ac:dyDescent="0.2">
      <c r="A56" s="32" t="s">
        <v>55</v>
      </c>
      <c r="B56" s="32" t="s">
        <v>55</v>
      </c>
      <c r="C56" s="32">
        <v>0</v>
      </c>
      <c r="D56" s="146">
        <f>IFERROR(VLOOKUP(B56,Servidores!$A$54:$C$64,3,0),"")</f>
        <v>224.32</v>
      </c>
      <c r="E56" s="38">
        <f t="shared" ref="E56:E57" si="4">IFERROR(C56*D56,0)</f>
        <v>0</v>
      </c>
    </row>
    <row r="57" spans="1:5" x14ac:dyDescent="0.2">
      <c r="A57" s="32" t="s">
        <v>68</v>
      </c>
      <c r="B57" s="32" t="s">
        <v>68</v>
      </c>
      <c r="C57" s="32">
        <v>0</v>
      </c>
      <c r="D57" s="146">
        <f>IFERROR(VLOOKUP(B57,Servidores!$A$54:$C$64,3,0),"")</f>
        <v>151.24</v>
      </c>
      <c r="E57" s="38">
        <f t="shared" si="4"/>
        <v>0</v>
      </c>
    </row>
    <row r="58" spans="1:5" x14ac:dyDescent="0.2">
      <c r="A58" s="147" t="s">
        <v>236</v>
      </c>
      <c r="B58" s="32" t="s">
        <v>56</v>
      </c>
      <c r="C58" s="32">
        <v>0</v>
      </c>
      <c r="D58" s="146">
        <f>IFERROR(VLOOKUP(B58,Servidores!$A$54:$C$64,3,0),"")</f>
        <v>248.66</v>
      </c>
      <c r="E58" s="38">
        <f>IFERROR(C58*D58,0)</f>
        <v>0</v>
      </c>
    </row>
    <row r="59" spans="1:5" x14ac:dyDescent="0.2">
      <c r="A59" s="32" t="s">
        <v>400</v>
      </c>
      <c r="B59" s="32" t="s">
        <v>71</v>
      </c>
      <c r="C59" s="32">
        <v>0</v>
      </c>
      <c r="D59" s="146">
        <f>IFERROR(VLOOKUP(B59,Servidores!$A$54:$C$64,3,0),"")</f>
        <v>1071.67</v>
      </c>
      <c r="E59" s="38">
        <f>IFERROR(C59*D59,0)</f>
        <v>0</v>
      </c>
    </row>
    <row r="60" spans="1:5" x14ac:dyDescent="0.2">
      <c r="A60" s="32" t="s">
        <v>401</v>
      </c>
      <c r="B60" s="32" t="s">
        <v>77</v>
      </c>
      <c r="C60" s="32">
        <v>0</v>
      </c>
      <c r="D60" s="146">
        <f>IFERROR(VLOOKUP(B60,Servidores!$A$54:$C$64,3,0),"")</f>
        <v>1071.67</v>
      </c>
      <c r="E60" s="38">
        <f>IFERROR(C60*D60,0)</f>
        <v>0</v>
      </c>
    </row>
    <row r="61" spans="1:5" x14ac:dyDescent="0.2">
      <c r="A61" s="32"/>
      <c r="B61" s="32"/>
      <c r="C61" s="32"/>
      <c r="D61" s="146" t="str">
        <f>IFERROR(VLOOKUP(B61,Servidores!$A$54:$C$64,3,0),"")</f>
        <v/>
      </c>
      <c r="E61" s="38">
        <f t="shared" ref="E61:E68" si="5">IFERROR(C61*D61,0)</f>
        <v>0</v>
      </c>
    </row>
    <row r="62" spans="1:5" x14ac:dyDescent="0.2">
      <c r="A62" s="32"/>
      <c r="B62" s="32"/>
      <c r="C62" s="32"/>
      <c r="D62" s="146" t="str">
        <f>IFERROR(VLOOKUP(B62,Servidores!$A$54:$C$64,3,0),"")</f>
        <v/>
      </c>
      <c r="E62" s="38">
        <f t="shared" si="5"/>
        <v>0</v>
      </c>
    </row>
    <row r="63" spans="1:5" x14ac:dyDescent="0.2">
      <c r="A63" s="32"/>
      <c r="B63" s="32"/>
      <c r="C63" s="32"/>
      <c r="D63" s="146" t="str">
        <f>IFERROR(VLOOKUP(B63,Servidores!$A$54:$C$64,3,0),"")</f>
        <v/>
      </c>
      <c r="E63" s="38">
        <f t="shared" si="5"/>
        <v>0</v>
      </c>
    </row>
    <row r="64" spans="1:5" x14ac:dyDescent="0.2">
      <c r="A64" s="32"/>
      <c r="B64" s="32"/>
      <c r="C64" s="32"/>
      <c r="D64" s="146" t="str">
        <f>IFERROR(VLOOKUP(B64,Servidores!$A$54:$C$64,3,0),"")</f>
        <v/>
      </c>
      <c r="E64" s="38">
        <f t="shared" si="5"/>
        <v>0</v>
      </c>
    </row>
    <row r="65" spans="1:5" x14ac:dyDescent="0.2">
      <c r="A65" s="32"/>
      <c r="B65" s="32"/>
      <c r="C65" s="32"/>
      <c r="D65" s="146" t="str">
        <f>IFERROR(VLOOKUP(B65,Servidores!$A$54:$C$64,3,0),"")</f>
        <v/>
      </c>
      <c r="E65" s="38">
        <f t="shared" si="5"/>
        <v>0</v>
      </c>
    </row>
    <row r="66" spans="1:5" x14ac:dyDescent="0.2">
      <c r="A66" s="32"/>
      <c r="B66" s="32"/>
      <c r="C66" s="32"/>
      <c r="D66" s="146" t="str">
        <f>IFERROR(VLOOKUP(B66,Servidores!$A$54:$C$64,3,0),"")</f>
        <v/>
      </c>
      <c r="E66" s="38">
        <f t="shared" si="5"/>
        <v>0</v>
      </c>
    </row>
    <row r="67" spans="1:5" x14ac:dyDescent="0.2">
      <c r="A67" s="32"/>
      <c r="B67" s="32"/>
      <c r="C67" s="32"/>
      <c r="D67" s="146" t="str">
        <f>IFERROR(VLOOKUP(B67,Servidores!$A$54:$C$64,3,0),"")</f>
        <v/>
      </c>
      <c r="E67" s="38">
        <f t="shared" si="5"/>
        <v>0</v>
      </c>
    </row>
    <row r="68" spans="1:5" x14ac:dyDescent="0.2">
      <c r="A68" s="32"/>
      <c r="B68" s="32"/>
      <c r="C68" s="32"/>
      <c r="D68" s="146" t="str">
        <f>IFERROR(VLOOKUP(B68,Servidores!$A$54:$C$64,3,0),"")</f>
        <v/>
      </c>
      <c r="E68" s="38">
        <f t="shared" si="5"/>
        <v>0</v>
      </c>
    </row>
    <row r="69" spans="1:5" x14ac:dyDescent="0.2">
      <c r="A69" s="32"/>
      <c r="B69" s="32"/>
      <c r="C69" s="32"/>
      <c r="D69" s="146" t="str">
        <f>IFERROR(VLOOKUP(B69,Servidores!$A$54:$C$64,3,0),"")</f>
        <v/>
      </c>
      <c r="E69" s="38">
        <f t="shared" ref="E69:E70" si="6">IFERROR(C69*D69,0)</f>
        <v>0</v>
      </c>
    </row>
    <row r="70" spans="1:5" x14ac:dyDescent="0.2">
      <c r="A70" s="32"/>
      <c r="B70" s="32"/>
      <c r="C70" s="32"/>
      <c r="D70" s="146" t="str">
        <f>IFERROR(VLOOKUP(B70,Servidores!$A$54:$C$64,3,0),"")</f>
        <v/>
      </c>
      <c r="E70" s="38">
        <f t="shared" si="6"/>
        <v>0</v>
      </c>
    </row>
    <row r="71" spans="1:5" ht="16" x14ac:dyDescent="0.2">
      <c r="A71" s="234" t="s">
        <v>73</v>
      </c>
      <c r="B71" s="234"/>
      <c r="C71" s="234"/>
      <c r="D71" s="234"/>
      <c r="E71" s="39">
        <f>SUM(E55:E70)</f>
        <v>0</v>
      </c>
    </row>
  </sheetData>
  <sheetProtection sheet="1" objects="1" scenarios="1"/>
  <mergeCells count="9">
    <mergeCell ref="A71:D71"/>
    <mergeCell ref="A26:D26"/>
    <mergeCell ref="A28:E28"/>
    <mergeCell ref="A51:D51"/>
    <mergeCell ref="A2:E2"/>
    <mergeCell ref="A3:E3"/>
    <mergeCell ref="A4:E4"/>
    <mergeCell ref="A5:E5"/>
    <mergeCell ref="A53:E53"/>
  </mergeCells>
  <pageMargins left="0.51180555555555496" right="0.51180555555555496" top="0.78749999999999998" bottom="0.78749999999999998" header="0.51180555555555496" footer="0.51180555555555496"/>
  <pageSetup paperSize="9" scale="59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E629641A-F14D-B64F-ACBC-A63C3FFE006D}">
          <x14:formula1>
            <xm:f>Servidores!$A$54:$A$65</xm:f>
          </x14:formula1>
          <xm:sqref>B30:B50 B55:B70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4"/>
  <sheetViews>
    <sheetView topLeftCell="A9" zoomScale="130" zoomScaleNormal="130" workbookViewId="0">
      <selection activeCell="B31" sqref="B31"/>
    </sheetView>
  </sheetViews>
  <sheetFormatPr baseColWidth="10" defaultColWidth="8.83203125" defaultRowHeight="15" x14ac:dyDescent="0.2"/>
  <cols>
    <col min="1" max="1" width="80.6640625" style="2" customWidth="1"/>
    <col min="2" max="2" width="62.1640625" style="2" customWidth="1"/>
    <col min="3" max="3" width="5.83203125" style="2" customWidth="1"/>
    <col min="4" max="5" width="17.5" style="2" customWidth="1"/>
    <col min="6" max="6" width="16.5" style="2" customWidth="1"/>
    <col min="7" max="256" width="12.5" style="2" customWidth="1"/>
    <col min="257" max="257" width="24.5" style="2" customWidth="1"/>
    <col min="258" max="258" width="13.83203125" style="2" customWidth="1"/>
    <col min="259" max="259" width="65.1640625" style="2" customWidth="1"/>
    <col min="260" max="261" width="17.5" style="2" customWidth="1"/>
    <col min="262" max="262" width="16.5" style="2" customWidth="1"/>
    <col min="263" max="512" width="12.5" style="2" customWidth="1"/>
    <col min="513" max="513" width="24.5" style="2" customWidth="1"/>
    <col min="514" max="514" width="13.83203125" style="2" customWidth="1"/>
    <col min="515" max="515" width="65.1640625" style="2" customWidth="1"/>
    <col min="516" max="517" width="17.5" style="2" customWidth="1"/>
    <col min="518" max="518" width="16.5" style="2" customWidth="1"/>
    <col min="519" max="768" width="12.5" style="2" customWidth="1"/>
    <col min="769" max="769" width="24.5" style="2" customWidth="1"/>
    <col min="770" max="770" width="13.83203125" style="2" customWidth="1"/>
    <col min="771" max="771" width="65.1640625" style="2" customWidth="1"/>
    <col min="772" max="773" width="17.5" style="2" customWidth="1"/>
    <col min="774" max="774" width="16.5" style="2" customWidth="1"/>
    <col min="775" max="1025" width="12.5" style="2" customWidth="1"/>
  </cols>
  <sheetData>
    <row r="1" spans="1:5" s="29" customFormat="1" ht="15.75" customHeight="1" x14ac:dyDescent="0.2">
      <c r="A1" s="35" t="s">
        <v>79</v>
      </c>
      <c r="B1" s="36"/>
      <c r="C1" s="36"/>
    </row>
    <row r="2" spans="1:5" s="29" customFormat="1" ht="15.75" customHeight="1" x14ac:dyDescent="0.2">
      <c r="A2" s="231" t="s">
        <v>87</v>
      </c>
      <c r="B2" s="231"/>
      <c r="C2" s="36"/>
    </row>
    <row r="3" spans="1:5" s="29" customFormat="1" ht="16" x14ac:dyDescent="0.2">
      <c r="A3" s="235" t="str">
        <f>'Custo do Curso'!B5</f>
        <v>Nome Projeto</v>
      </c>
      <c r="B3" s="237"/>
      <c r="C3" s="144"/>
    </row>
    <row r="4" spans="1:5" s="29" customFormat="1" ht="16" x14ac:dyDescent="0.2">
      <c r="A4" s="235"/>
      <c r="B4" s="237"/>
    </row>
    <row r="5" spans="1:5" s="29" customFormat="1" ht="18" x14ac:dyDescent="0.2">
      <c r="A5" s="239" t="s">
        <v>88</v>
      </c>
      <c r="B5" s="239"/>
    </row>
    <row r="6" spans="1:5" s="29" customFormat="1" ht="16" x14ac:dyDescent="0.2">
      <c r="A6" s="148" t="s">
        <v>89</v>
      </c>
      <c r="B6" s="149" t="s">
        <v>90</v>
      </c>
      <c r="D6" s="29" t="s">
        <v>277</v>
      </c>
    </row>
    <row r="7" spans="1:5" x14ac:dyDescent="0.2">
      <c r="A7" s="34" t="s">
        <v>273</v>
      </c>
      <c r="B7" s="38">
        <f>'Custo do Curso'!C40*('Custo do Curso'!B47+1)*D8+50*D9</f>
        <v>2355.7199999999998</v>
      </c>
      <c r="D7" s="2" t="s">
        <v>276</v>
      </c>
    </row>
    <row r="8" spans="1:5" x14ac:dyDescent="0.2">
      <c r="A8" s="34" t="s">
        <v>351</v>
      </c>
      <c r="B8" s="38">
        <f>'Custo do Curso'!C38*'Serviços - PJ'!D10</f>
        <v>612</v>
      </c>
      <c r="D8" s="150">
        <v>2.2599999999999998</v>
      </c>
      <c r="E8" s="151" t="s">
        <v>275</v>
      </c>
    </row>
    <row r="9" spans="1:5" x14ac:dyDescent="0.2">
      <c r="A9" s="32" t="s">
        <v>281</v>
      </c>
      <c r="B9" s="40">
        <v>4248</v>
      </c>
      <c r="D9" s="152">
        <v>3.18</v>
      </c>
      <c r="E9" s="153" t="s">
        <v>274</v>
      </c>
    </row>
    <row r="10" spans="1:5" x14ac:dyDescent="0.2">
      <c r="A10" s="32" t="s">
        <v>283</v>
      </c>
      <c r="B10" s="40">
        <v>16692</v>
      </c>
      <c r="D10" s="179">
        <v>12.24</v>
      </c>
      <c r="E10" s="2" t="s">
        <v>278</v>
      </c>
    </row>
    <row r="11" spans="1:5" ht="16" x14ac:dyDescent="0.2">
      <c r="A11" s="37" t="s">
        <v>396</v>
      </c>
      <c r="B11" s="40">
        <f>24*Servidores!C54</f>
        <v>5967.84</v>
      </c>
    </row>
    <row r="12" spans="1:5" ht="16" x14ac:dyDescent="0.2">
      <c r="A12" s="37" t="s">
        <v>397</v>
      </c>
      <c r="B12" s="40">
        <f>24*Servidores!C55</f>
        <v>5383.68</v>
      </c>
    </row>
    <row r="13" spans="1:5" ht="16" x14ac:dyDescent="0.2">
      <c r="A13" s="37" t="s">
        <v>398</v>
      </c>
      <c r="B13" s="40">
        <f>24*Servidores!C56</f>
        <v>3629.76</v>
      </c>
    </row>
    <row r="14" spans="1:5" x14ac:dyDescent="0.2">
      <c r="A14" s="32"/>
      <c r="B14" s="40">
        <v>0</v>
      </c>
    </row>
    <row r="15" spans="1:5" x14ac:dyDescent="0.2">
      <c r="A15" s="32"/>
      <c r="B15" s="40">
        <v>0</v>
      </c>
    </row>
    <row r="16" spans="1:5" x14ac:dyDescent="0.2">
      <c r="A16" s="32"/>
      <c r="B16" s="40">
        <v>0</v>
      </c>
    </row>
    <row r="17" spans="1:2" x14ac:dyDescent="0.2">
      <c r="A17" s="32"/>
      <c r="B17" s="40">
        <v>0</v>
      </c>
    </row>
    <row r="18" spans="1:2" x14ac:dyDescent="0.2">
      <c r="A18" s="32"/>
      <c r="B18" s="40">
        <v>0</v>
      </c>
    </row>
    <row r="19" spans="1:2" x14ac:dyDescent="0.2">
      <c r="A19" s="32"/>
      <c r="B19" s="40">
        <v>0</v>
      </c>
    </row>
    <row r="20" spans="1:2" x14ac:dyDescent="0.2">
      <c r="A20" s="32"/>
      <c r="B20" s="40">
        <v>0</v>
      </c>
    </row>
    <row r="21" spans="1:2" x14ac:dyDescent="0.2">
      <c r="A21" s="32"/>
      <c r="B21" s="40">
        <v>0</v>
      </c>
    </row>
    <row r="22" spans="1:2" x14ac:dyDescent="0.2">
      <c r="A22" s="32"/>
      <c r="B22" s="40">
        <v>0</v>
      </c>
    </row>
    <row r="23" spans="1:2" x14ac:dyDescent="0.2">
      <c r="A23" s="32"/>
      <c r="B23" s="40">
        <v>0</v>
      </c>
    </row>
    <row r="24" spans="1:2" x14ac:dyDescent="0.2">
      <c r="A24" s="32"/>
      <c r="B24" s="40">
        <v>0</v>
      </c>
    </row>
    <row r="25" spans="1:2" x14ac:dyDescent="0.2">
      <c r="A25" s="32"/>
      <c r="B25" s="40">
        <v>0</v>
      </c>
    </row>
    <row r="26" spans="1:2" x14ac:dyDescent="0.2">
      <c r="A26" s="32"/>
      <c r="B26" s="40">
        <v>0</v>
      </c>
    </row>
    <row r="27" spans="1:2" x14ac:dyDescent="0.2">
      <c r="A27" s="32"/>
      <c r="B27" s="40">
        <v>0</v>
      </c>
    </row>
    <row r="28" spans="1:2" x14ac:dyDescent="0.2">
      <c r="A28" s="32"/>
      <c r="B28" s="40">
        <v>0</v>
      </c>
    </row>
    <row r="29" spans="1:2" x14ac:dyDescent="0.2">
      <c r="A29" s="32"/>
      <c r="B29" s="40">
        <v>0</v>
      </c>
    </row>
    <row r="30" spans="1:2" x14ac:dyDescent="0.2">
      <c r="A30" s="32"/>
      <c r="B30" s="40">
        <v>0</v>
      </c>
    </row>
    <row r="31" spans="1:2" ht="16" x14ac:dyDescent="0.2">
      <c r="A31" s="154" t="s">
        <v>73</v>
      </c>
      <c r="B31" s="145">
        <f>SUM(B7:B30)</f>
        <v>38889.000000000007</v>
      </c>
    </row>
    <row r="33" spans="2:2" x14ac:dyDescent="0.2">
      <c r="B33" s="150"/>
    </row>
    <row r="34" spans="2:2" x14ac:dyDescent="0.2">
      <c r="B34" s="152"/>
    </row>
  </sheetData>
  <sheetProtection sheet="1" objects="1" scenarios="1"/>
  <mergeCells count="4">
    <mergeCell ref="A2:B2"/>
    <mergeCell ref="A5:B5"/>
    <mergeCell ref="A3:B3"/>
    <mergeCell ref="A4:B4"/>
  </mergeCells>
  <pageMargins left="0.51180555555555496" right="0.51180555555555496" top="0.78749999999999998" bottom="0.78749999999999998" header="0.51180555555555496" footer="0.51180555555555496"/>
  <pageSetup paperSize="9" scale="60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41"/>
  <sheetViews>
    <sheetView topLeftCell="B4" zoomScale="130" zoomScaleNormal="130" workbookViewId="0">
      <selection activeCell="E9" sqref="E9"/>
    </sheetView>
  </sheetViews>
  <sheetFormatPr baseColWidth="10" defaultColWidth="8.83203125" defaultRowHeight="15" x14ac:dyDescent="0.2"/>
  <cols>
    <col min="1" max="1" width="18.5" style="2" customWidth="1"/>
    <col min="2" max="2" width="53.33203125" style="2" customWidth="1"/>
    <col min="3" max="3" width="65.1640625" style="2" customWidth="1"/>
    <col min="4" max="5" width="17.5" style="2" customWidth="1"/>
    <col min="6" max="6" width="16.5" style="2" customWidth="1"/>
    <col min="7" max="7" width="19.6640625" style="2" bestFit="1" customWidth="1"/>
    <col min="8" max="256" width="12.5" style="2" customWidth="1"/>
    <col min="257" max="257" width="18.5" style="2" customWidth="1"/>
    <col min="258" max="258" width="13.83203125" style="2" customWidth="1"/>
    <col min="259" max="259" width="65.1640625" style="2" customWidth="1"/>
    <col min="260" max="261" width="17.5" style="2" customWidth="1"/>
    <col min="262" max="262" width="16.5" style="2" customWidth="1"/>
    <col min="263" max="512" width="12.5" style="2" customWidth="1"/>
    <col min="513" max="513" width="18.5" style="2" customWidth="1"/>
    <col min="514" max="514" width="13.83203125" style="2" customWidth="1"/>
    <col min="515" max="515" width="65.1640625" style="2" customWidth="1"/>
    <col min="516" max="517" width="17.5" style="2" customWidth="1"/>
    <col min="518" max="518" width="16.5" style="2" customWidth="1"/>
    <col min="519" max="768" width="12.5" style="2" customWidth="1"/>
    <col min="769" max="769" width="18.5" style="2" customWidth="1"/>
    <col min="770" max="770" width="13.83203125" style="2" customWidth="1"/>
    <col min="771" max="771" width="65.1640625" style="2" customWidth="1"/>
    <col min="772" max="773" width="17.5" style="2" customWidth="1"/>
    <col min="774" max="774" width="16.5" style="2" customWidth="1"/>
    <col min="775" max="1025" width="12.5" style="2" customWidth="1"/>
  </cols>
  <sheetData>
    <row r="1" spans="1:6" s="29" customFormat="1" ht="15.75" customHeight="1" x14ac:dyDescent="0.2">
      <c r="A1" s="35" t="s">
        <v>79</v>
      </c>
      <c r="C1" s="36"/>
      <c r="D1" s="36"/>
      <c r="E1" s="36"/>
      <c r="F1" s="36"/>
    </row>
    <row r="2" spans="1:6" s="29" customFormat="1" ht="15.75" customHeight="1" x14ac:dyDescent="0.2">
      <c r="A2" s="231" t="s">
        <v>91</v>
      </c>
      <c r="B2" s="231"/>
      <c r="C2" s="231"/>
      <c r="D2" s="231"/>
      <c r="E2" s="231"/>
      <c r="F2" s="36"/>
    </row>
    <row r="3" spans="1:6" s="29" customFormat="1" ht="15.75" customHeight="1" x14ac:dyDescent="0.2">
      <c r="A3" s="235" t="str">
        <f>'Custo do Curso'!B5</f>
        <v>Nome Projeto</v>
      </c>
      <c r="B3" s="236"/>
      <c r="C3" s="236"/>
      <c r="D3" s="236"/>
      <c r="E3" s="237"/>
      <c r="F3" s="36"/>
    </row>
    <row r="4" spans="1:6" s="29" customFormat="1" ht="16" x14ac:dyDescent="0.2">
      <c r="A4" s="235"/>
      <c r="B4" s="236"/>
      <c r="C4" s="236"/>
      <c r="D4" s="236"/>
      <c r="E4" s="237"/>
    </row>
    <row r="5" spans="1:6" s="29" customFormat="1" ht="18" x14ac:dyDescent="0.2">
      <c r="A5" s="239" t="s">
        <v>92</v>
      </c>
      <c r="B5" s="239"/>
      <c r="C5" s="239"/>
      <c r="D5" s="239"/>
      <c r="E5" s="239"/>
    </row>
    <row r="6" spans="1:6" s="29" customFormat="1" ht="34" x14ac:dyDescent="0.2">
      <c r="A6" s="30" t="s">
        <v>110</v>
      </c>
      <c r="B6" s="246" t="s">
        <v>98</v>
      </c>
      <c r="C6" s="247"/>
      <c r="D6" s="248"/>
      <c r="E6" s="31" t="s">
        <v>93</v>
      </c>
    </row>
    <row r="7" spans="1:6" ht="15" customHeight="1" x14ac:dyDescent="0.2">
      <c r="A7" s="34">
        <v>1</v>
      </c>
      <c r="B7" s="243" t="s">
        <v>295</v>
      </c>
      <c r="C7" s="244"/>
      <c r="D7" s="245"/>
      <c r="E7" s="40">
        <v>27660.35</v>
      </c>
    </row>
    <row r="8" spans="1:6" ht="15" customHeight="1" x14ac:dyDescent="0.2">
      <c r="A8" s="34">
        <v>2</v>
      </c>
      <c r="B8" s="243" t="s">
        <v>311</v>
      </c>
      <c r="C8" s="244"/>
      <c r="D8" s="245"/>
      <c r="E8" s="40">
        <v>27660.35</v>
      </c>
    </row>
    <row r="9" spans="1:6" ht="15" customHeight="1" x14ac:dyDescent="0.2">
      <c r="A9" s="34">
        <v>3</v>
      </c>
      <c r="B9" s="243"/>
      <c r="C9" s="244"/>
      <c r="D9" s="245"/>
      <c r="E9" s="40"/>
    </row>
    <row r="10" spans="1:6" ht="15" customHeight="1" x14ac:dyDescent="0.2">
      <c r="A10" s="34">
        <v>4</v>
      </c>
      <c r="B10" s="243"/>
      <c r="C10" s="244"/>
      <c r="D10" s="245"/>
      <c r="E10" s="40"/>
    </row>
    <row r="11" spans="1:6" ht="15" customHeight="1" x14ac:dyDescent="0.2">
      <c r="A11" s="34">
        <v>5</v>
      </c>
      <c r="B11" s="243"/>
      <c r="C11" s="244"/>
      <c r="D11" s="245"/>
      <c r="E11" s="40"/>
    </row>
    <row r="12" spans="1:6" ht="15" customHeight="1" x14ac:dyDescent="0.2">
      <c r="A12" s="34">
        <v>6</v>
      </c>
      <c r="B12" s="243"/>
      <c r="C12" s="244"/>
      <c r="D12" s="245"/>
      <c r="E12" s="40"/>
    </row>
    <row r="13" spans="1:6" ht="15" customHeight="1" x14ac:dyDescent="0.2">
      <c r="A13" s="34">
        <v>7</v>
      </c>
      <c r="B13" s="243"/>
      <c r="C13" s="244"/>
      <c r="D13" s="245"/>
      <c r="E13" s="40"/>
    </row>
    <row r="14" spans="1:6" ht="15" customHeight="1" x14ac:dyDescent="0.2">
      <c r="A14" s="34">
        <v>8</v>
      </c>
      <c r="B14" s="243"/>
      <c r="C14" s="244"/>
      <c r="D14" s="245"/>
      <c r="E14" s="40"/>
    </row>
    <row r="15" spans="1:6" ht="15" customHeight="1" x14ac:dyDescent="0.2">
      <c r="A15" s="34">
        <v>9</v>
      </c>
      <c r="B15" s="243"/>
      <c r="C15" s="244"/>
      <c r="D15" s="245"/>
      <c r="E15" s="40"/>
    </row>
    <row r="16" spans="1:6" ht="15" customHeight="1" x14ac:dyDescent="0.2">
      <c r="A16" s="34">
        <v>10</v>
      </c>
      <c r="B16" s="243"/>
      <c r="C16" s="244"/>
      <c r="D16" s="245"/>
      <c r="E16" s="40"/>
    </row>
    <row r="17" spans="1:7" ht="16" x14ac:dyDescent="0.2">
      <c r="A17" s="249" t="s">
        <v>97</v>
      </c>
      <c r="B17" s="250"/>
      <c r="C17" s="250"/>
      <c r="D17" s="251"/>
      <c r="E17" s="145">
        <f>SUM(E7:E16)</f>
        <v>55320.7</v>
      </c>
    </row>
    <row r="18" spans="1:7" ht="16" x14ac:dyDescent="0.2">
      <c r="A18" s="129"/>
      <c r="B18" s="155"/>
      <c r="C18" s="155"/>
      <c r="D18" s="155"/>
      <c r="E18" s="156"/>
    </row>
    <row r="19" spans="1:7" ht="18" x14ac:dyDescent="0.2">
      <c r="A19" s="239" t="s">
        <v>94</v>
      </c>
      <c r="B19" s="239"/>
      <c r="C19" s="239"/>
      <c r="D19" s="239"/>
      <c r="E19" s="239"/>
      <c r="F19" s="157" t="s">
        <v>95</v>
      </c>
      <c r="G19" s="158" t="s">
        <v>96</v>
      </c>
    </row>
    <row r="20" spans="1:7" ht="34" x14ac:dyDescent="0.2">
      <c r="A20" s="159" t="s">
        <v>110</v>
      </c>
      <c r="B20" s="254" t="s">
        <v>98</v>
      </c>
      <c r="C20" s="255"/>
      <c r="D20" s="256"/>
      <c r="E20" s="160" t="s">
        <v>93</v>
      </c>
      <c r="F20" s="161">
        <f>'Custo do Curso'!C44</f>
        <v>277920</v>
      </c>
      <c r="G20" s="162">
        <f>'Custo do Curso'!H49</f>
        <v>277919.99799999991</v>
      </c>
    </row>
    <row r="21" spans="1:7" ht="15" customHeight="1" x14ac:dyDescent="0.2">
      <c r="A21" s="32">
        <v>1</v>
      </c>
      <c r="B21" s="243" t="s">
        <v>295</v>
      </c>
      <c r="C21" s="244"/>
      <c r="D21" s="245"/>
      <c r="E21" s="40">
        <f>F20</f>
        <v>277920</v>
      </c>
    </row>
    <row r="22" spans="1:7" ht="15" customHeight="1" x14ac:dyDescent="0.2">
      <c r="A22" s="32">
        <v>2</v>
      </c>
      <c r="B22" s="243"/>
      <c r="C22" s="244"/>
      <c r="D22" s="245"/>
      <c r="E22" s="40"/>
    </row>
    <row r="23" spans="1:7" x14ac:dyDescent="0.2">
      <c r="A23" s="32">
        <v>3</v>
      </c>
      <c r="B23" s="243"/>
      <c r="C23" s="244"/>
      <c r="D23" s="245"/>
      <c r="E23" s="40"/>
    </row>
    <row r="24" spans="1:7" x14ac:dyDescent="0.2">
      <c r="A24" s="32">
        <v>4</v>
      </c>
      <c r="B24" s="243"/>
      <c r="C24" s="244"/>
      <c r="D24" s="245"/>
      <c r="E24" s="40"/>
    </row>
    <row r="25" spans="1:7" x14ac:dyDescent="0.2">
      <c r="A25" s="32">
        <v>5</v>
      </c>
      <c r="B25" s="243"/>
      <c r="C25" s="244"/>
      <c r="D25" s="245"/>
      <c r="E25" s="40"/>
    </row>
    <row r="26" spans="1:7" x14ac:dyDescent="0.2">
      <c r="A26" s="32">
        <v>6</v>
      </c>
      <c r="B26" s="243"/>
      <c r="C26" s="244"/>
      <c r="D26" s="245"/>
      <c r="E26" s="40"/>
    </row>
    <row r="27" spans="1:7" x14ac:dyDescent="0.2">
      <c r="A27" s="32">
        <v>7</v>
      </c>
      <c r="B27" s="243"/>
      <c r="C27" s="244"/>
      <c r="D27" s="245"/>
      <c r="E27" s="40"/>
    </row>
    <row r="28" spans="1:7" x14ac:dyDescent="0.2">
      <c r="A28" s="32">
        <v>8</v>
      </c>
      <c r="B28" s="243"/>
      <c r="C28" s="244"/>
      <c r="D28" s="245"/>
      <c r="E28" s="40"/>
    </row>
    <row r="29" spans="1:7" x14ac:dyDescent="0.2">
      <c r="A29" s="32">
        <v>9</v>
      </c>
      <c r="B29" s="243"/>
      <c r="C29" s="244"/>
      <c r="D29" s="245"/>
      <c r="E29" s="40"/>
    </row>
    <row r="30" spans="1:7" x14ac:dyDescent="0.2">
      <c r="A30" s="32">
        <v>10</v>
      </c>
      <c r="B30" s="243"/>
      <c r="C30" s="244"/>
      <c r="D30" s="245"/>
      <c r="E30" s="40"/>
    </row>
    <row r="31" spans="1:7" ht="16" x14ac:dyDescent="0.2">
      <c r="A31" s="241" t="s">
        <v>97</v>
      </c>
      <c r="B31" s="241"/>
      <c r="C31" s="241"/>
      <c r="D31" s="241"/>
      <c r="E31" s="163">
        <f>SUM(E21:E30)</f>
        <v>277920</v>
      </c>
    </row>
    <row r="32" spans="1:7" ht="16" x14ac:dyDescent="0.2">
      <c r="A32" s="129"/>
      <c r="B32" s="155"/>
      <c r="C32" s="155"/>
      <c r="D32" s="155"/>
      <c r="E32" s="156"/>
    </row>
    <row r="33" spans="1:5" x14ac:dyDescent="0.2">
      <c r="A33" s="253" t="s">
        <v>270</v>
      </c>
      <c r="B33" s="253"/>
      <c r="C33" s="253"/>
      <c r="D33" s="253"/>
      <c r="E33" s="253"/>
    </row>
    <row r="34" spans="1:5" ht="16" x14ac:dyDescent="0.2">
      <c r="A34" s="242"/>
      <c r="B34" s="242"/>
      <c r="C34" s="242"/>
    </row>
    <row r="35" spans="1:5" ht="16" x14ac:dyDescent="0.2">
      <c r="A35" s="252"/>
      <c r="B35" s="252"/>
      <c r="C35" s="252"/>
    </row>
    <row r="36" spans="1:5" ht="16" x14ac:dyDescent="0.2">
      <c r="A36" s="29"/>
    </row>
    <row r="37" spans="1:5" ht="16" x14ac:dyDescent="0.2">
      <c r="A37" s="29"/>
    </row>
    <row r="38" spans="1:5" ht="16" x14ac:dyDescent="0.2">
      <c r="A38" s="29"/>
    </row>
    <row r="39" spans="1:5" ht="16" x14ac:dyDescent="0.2">
      <c r="A39" s="29"/>
    </row>
    <row r="41" spans="1:5" ht="16" x14ac:dyDescent="0.2">
      <c r="A41" s="29"/>
    </row>
  </sheetData>
  <sheetProtection sheet="1" objects="1" scenarios="1"/>
  <mergeCells count="32">
    <mergeCell ref="B6:D6"/>
    <mergeCell ref="A17:D17"/>
    <mergeCell ref="A19:E19"/>
    <mergeCell ref="A35:C35"/>
    <mergeCell ref="A33:E33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A2:E2"/>
    <mergeCell ref="A4:E4"/>
    <mergeCell ref="A5:E5"/>
    <mergeCell ref="A31:D31"/>
    <mergeCell ref="A34:C34"/>
    <mergeCell ref="A3:E3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pageMargins left="0.51180555555555496" right="0.51180555555555496" top="0.78749999999999998" bottom="0.78749999999999998" header="0.51180555555555496" footer="0.51180555555555496"/>
  <pageSetup paperSize="9" scale="50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F00608-08DF-5044-97A2-CB6E6E1474EC}">
          <x14:formula1>
            <xm:f>'Investimento - especificação'!$C$5:$C$53</xm:f>
          </x14:formula1>
          <xm:sqref>B21:D30 B7:D16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K15"/>
  <sheetViews>
    <sheetView zoomScale="130" zoomScaleNormal="130" workbookViewId="0">
      <selection activeCell="C7" sqref="C7"/>
    </sheetView>
  </sheetViews>
  <sheetFormatPr baseColWidth="10" defaultColWidth="8.83203125" defaultRowHeight="15" x14ac:dyDescent="0.2"/>
  <cols>
    <col min="1" max="1" width="39.1640625" style="2" customWidth="1"/>
    <col min="2" max="2" width="60.83203125" style="2" customWidth="1"/>
    <col min="3" max="3" width="12.5" style="2" customWidth="1"/>
    <col min="4" max="4" width="33.1640625" style="2" customWidth="1"/>
    <col min="5" max="5" width="19.6640625" style="2" customWidth="1"/>
    <col min="6" max="6" width="16.5" style="2" customWidth="1"/>
    <col min="7" max="256" width="12.5" style="2" customWidth="1"/>
    <col min="257" max="257" width="18.5" style="2" customWidth="1"/>
    <col min="258" max="258" width="13.83203125" style="2" customWidth="1"/>
    <col min="259" max="259" width="65.1640625" style="2" customWidth="1"/>
    <col min="260" max="261" width="17.5" style="2" customWidth="1"/>
    <col min="262" max="262" width="16.5" style="2" customWidth="1"/>
    <col min="263" max="512" width="12.5" style="2" customWidth="1"/>
    <col min="513" max="513" width="18.5" style="2" customWidth="1"/>
    <col min="514" max="514" width="13.83203125" style="2" customWidth="1"/>
    <col min="515" max="515" width="65.1640625" style="2" customWidth="1"/>
    <col min="516" max="517" width="17.5" style="2" customWidth="1"/>
    <col min="518" max="518" width="16.5" style="2" customWidth="1"/>
    <col min="519" max="768" width="12.5" style="2" customWidth="1"/>
    <col min="769" max="769" width="18.5" style="2" customWidth="1"/>
    <col min="770" max="770" width="13.83203125" style="2" customWidth="1"/>
    <col min="771" max="771" width="65.1640625" style="2" customWidth="1"/>
    <col min="772" max="773" width="17.5" style="2" customWidth="1"/>
    <col min="774" max="774" width="16.5" style="2" customWidth="1"/>
    <col min="775" max="1025" width="12.5" style="2" customWidth="1"/>
  </cols>
  <sheetData>
    <row r="1" spans="1:6" s="29" customFormat="1" ht="16" x14ac:dyDescent="0.2">
      <c r="F1" s="36"/>
    </row>
    <row r="2" spans="1:6" s="29" customFormat="1" ht="15.75" customHeight="1" x14ac:dyDescent="0.2">
      <c r="A2" s="231" t="s">
        <v>99</v>
      </c>
      <c r="B2" s="231"/>
      <c r="C2" s="231"/>
      <c r="D2" s="231"/>
      <c r="E2" s="231"/>
      <c r="F2" s="36"/>
    </row>
    <row r="3" spans="1:6" s="29" customFormat="1" ht="16" x14ac:dyDescent="0.2">
      <c r="A3" s="258" t="str">
        <f>'Custo do Curso'!B5</f>
        <v>Nome Projeto</v>
      </c>
      <c r="B3" s="259"/>
      <c r="C3" s="259"/>
      <c r="D3" s="259"/>
      <c r="E3" s="260"/>
      <c r="F3" s="36"/>
    </row>
    <row r="4" spans="1:6" s="29" customFormat="1" ht="16" x14ac:dyDescent="0.2">
      <c r="A4" s="235" t="s">
        <v>403</v>
      </c>
      <c r="B4" s="236"/>
      <c r="C4" s="236"/>
      <c r="D4" s="236"/>
      <c r="E4" s="237"/>
      <c r="F4" s="144"/>
    </row>
    <row r="5" spans="1:6" s="29" customFormat="1" ht="18" x14ac:dyDescent="0.2">
      <c r="A5" s="239" t="s">
        <v>100</v>
      </c>
      <c r="B5" s="239"/>
      <c r="C5" s="239"/>
      <c r="D5" s="239"/>
      <c r="E5" s="239"/>
    </row>
    <row r="6" spans="1:6" s="29" customFormat="1" ht="34" x14ac:dyDescent="0.2">
      <c r="A6" s="31" t="s">
        <v>101</v>
      </c>
      <c r="B6" s="31" t="s">
        <v>102</v>
      </c>
      <c r="C6" s="164" t="s">
        <v>103</v>
      </c>
      <c r="D6" s="31" t="s">
        <v>104</v>
      </c>
      <c r="E6" s="31" t="s">
        <v>93</v>
      </c>
    </row>
    <row r="7" spans="1:6" ht="17" x14ac:dyDescent="0.2">
      <c r="A7" s="142" t="s">
        <v>50</v>
      </c>
      <c r="B7" s="34" t="s">
        <v>105</v>
      </c>
      <c r="C7" s="180">
        <v>12</v>
      </c>
      <c r="D7" s="40">
        <v>177</v>
      </c>
      <c r="E7" s="38">
        <f>C7*D7</f>
        <v>2124</v>
      </c>
    </row>
    <row r="8" spans="1:6" ht="17" x14ac:dyDescent="0.2">
      <c r="A8" s="142" t="s">
        <v>106</v>
      </c>
      <c r="B8" s="34" t="s">
        <v>105</v>
      </c>
      <c r="C8" s="180">
        <v>12</v>
      </c>
      <c r="D8" s="40">
        <v>177</v>
      </c>
      <c r="E8" s="38">
        <f>C8*D8</f>
        <v>2124</v>
      </c>
    </row>
    <row r="9" spans="1:6" s="15" customFormat="1" ht="16" x14ac:dyDescent="0.2">
      <c r="A9" s="234" t="s">
        <v>73</v>
      </c>
      <c r="B9" s="234"/>
      <c r="C9" s="234"/>
      <c r="D9" s="234"/>
      <c r="E9" s="145">
        <f>SUM(E7:E8)</f>
        <v>4248</v>
      </c>
    </row>
    <row r="10" spans="1:6" s="2" customFormat="1" ht="14" x14ac:dyDescent="0.15">
      <c r="A10" s="257"/>
      <c r="B10" s="257"/>
      <c r="C10" s="257"/>
      <c r="D10" s="257"/>
      <c r="E10" s="165"/>
    </row>
    <row r="11" spans="1:6" ht="18" x14ac:dyDescent="0.2">
      <c r="A11" s="239" t="s">
        <v>107</v>
      </c>
      <c r="B11" s="239"/>
      <c r="C11" s="239"/>
      <c r="D11" s="239"/>
      <c r="E11" s="239"/>
    </row>
    <row r="12" spans="1:6" s="155" customFormat="1" ht="34" x14ac:dyDescent="0.15">
      <c r="A12" s="31" t="s">
        <v>101</v>
      </c>
      <c r="B12" s="31" t="s">
        <v>102</v>
      </c>
      <c r="C12" s="31" t="s">
        <v>103</v>
      </c>
      <c r="D12" s="31" t="s">
        <v>104</v>
      </c>
      <c r="E12" s="31" t="s">
        <v>93</v>
      </c>
    </row>
    <row r="13" spans="1:6" ht="17" x14ac:dyDescent="0.2">
      <c r="A13" s="142" t="s">
        <v>50</v>
      </c>
      <c r="B13" s="34" t="s">
        <v>105</v>
      </c>
      <c r="C13" s="180">
        <v>6</v>
      </c>
      <c r="D13" s="40">
        <v>1062</v>
      </c>
      <c r="E13" s="38">
        <f>C13*D13</f>
        <v>6372</v>
      </c>
    </row>
    <row r="14" spans="1:6" ht="17" x14ac:dyDescent="0.2">
      <c r="A14" s="142" t="s">
        <v>106</v>
      </c>
      <c r="B14" s="34" t="s">
        <v>105</v>
      </c>
      <c r="C14" s="180">
        <v>6</v>
      </c>
      <c r="D14" s="40">
        <v>1062</v>
      </c>
      <c r="E14" s="38">
        <f>C14*D14</f>
        <v>6372</v>
      </c>
    </row>
    <row r="15" spans="1:6" ht="16" x14ac:dyDescent="0.2">
      <c r="A15" s="234" t="s">
        <v>73</v>
      </c>
      <c r="B15" s="234"/>
      <c r="C15" s="234"/>
      <c r="D15" s="234"/>
      <c r="E15" s="145">
        <f>SUM(E13:E14)</f>
        <v>12744</v>
      </c>
    </row>
  </sheetData>
  <sheetProtection sheet="1" objects="1" scenarios="1"/>
  <mergeCells count="8">
    <mergeCell ref="A11:E11"/>
    <mergeCell ref="A15:D15"/>
    <mergeCell ref="A2:E2"/>
    <mergeCell ref="A5:E5"/>
    <mergeCell ref="A9:D9"/>
    <mergeCell ref="A10:D10"/>
    <mergeCell ref="A3:E3"/>
    <mergeCell ref="A4:E4"/>
  </mergeCells>
  <pageMargins left="0.51180555555555496" right="0.51180555555555496" top="0.78749999999999998" bottom="0.78749999999999998" header="0.51180555555555496" footer="0.51180555555555496"/>
  <pageSetup paperSize="9" scale="52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K23"/>
  <sheetViews>
    <sheetView zoomScale="130" zoomScaleNormal="130" workbookViewId="0">
      <selection activeCell="C21" sqref="C21"/>
    </sheetView>
  </sheetViews>
  <sheetFormatPr baseColWidth="10" defaultColWidth="8.83203125" defaultRowHeight="15" x14ac:dyDescent="0.2"/>
  <cols>
    <col min="1" max="1" width="17" style="2" customWidth="1"/>
    <col min="2" max="2" width="71.83203125" style="155" customWidth="1"/>
    <col min="3" max="3" width="30" style="2" customWidth="1"/>
    <col min="4" max="4" width="16.5" style="2" customWidth="1"/>
    <col min="5" max="254" width="12.5" style="2" customWidth="1"/>
    <col min="255" max="255" width="17" style="2" customWidth="1"/>
    <col min="256" max="256" width="13.83203125" style="2" customWidth="1"/>
    <col min="257" max="257" width="65.1640625" style="2" customWidth="1"/>
    <col min="258" max="259" width="17.5" style="2" customWidth="1"/>
    <col min="260" max="260" width="16.5" style="2" customWidth="1"/>
    <col min="261" max="510" width="12.5" style="2" customWidth="1"/>
    <col min="511" max="511" width="17" style="2" customWidth="1"/>
    <col min="512" max="512" width="13.83203125" style="2" customWidth="1"/>
    <col min="513" max="513" width="65.1640625" style="2" customWidth="1"/>
    <col min="514" max="515" width="17.5" style="2" customWidth="1"/>
    <col min="516" max="516" width="16.5" style="2" customWidth="1"/>
    <col min="517" max="766" width="12.5" style="2" customWidth="1"/>
    <col min="767" max="767" width="17" style="2" customWidth="1"/>
    <col min="768" max="768" width="13.83203125" style="2" customWidth="1"/>
    <col min="769" max="769" width="65.1640625" style="2" customWidth="1"/>
    <col min="770" max="771" width="17.5" style="2" customWidth="1"/>
    <col min="772" max="772" width="16.5" style="2" customWidth="1"/>
    <col min="773" max="1022" width="12.5" style="2" customWidth="1"/>
    <col min="1023" max="1023" width="17" style="2" customWidth="1"/>
    <col min="1024" max="1025" width="13.83203125" style="2" customWidth="1"/>
  </cols>
  <sheetData>
    <row r="1" spans="1:4" s="29" customFormat="1" ht="16" x14ac:dyDescent="0.2">
      <c r="A1" s="35" t="s">
        <v>79</v>
      </c>
      <c r="B1" s="129"/>
      <c r="C1" s="36"/>
      <c r="D1" s="36"/>
    </row>
    <row r="2" spans="1:4" s="29" customFormat="1" ht="15.75" customHeight="1" x14ac:dyDescent="0.2">
      <c r="A2" s="231" t="s">
        <v>108</v>
      </c>
      <c r="B2" s="231"/>
      <c r="C2" s="231"/>
      <c r="D2" s="36"/>
    </row>
    <row r="3" spans="1:4" s="29" customFormat="1" ht="16" x14ac:dyDescent="0.2">
      <c r="A3" s="261" t="str">
        <f>'Custo do Curso'!B5</f>
        <v>Nome Projeto</v>
      </c>
      <c r="B3" s="261"/>
      <c r="C3" s="261"/>
      <c r="D3" s="36"/>
    </row>
    <row r="4" spans="1:4" s="29" customFormat="1" ht="16" x14ac:dyDescent="0.2">
      <c r="A4" s="235"/>
      <c r="B4" s="236"/>
      <c r="C4" s="237"/>
      <c r="D4" s="144"/>
    </row>
    <row r="5" spans="1:4" s="29" customFormat="1" ht="18" x14ac:dyDescent="0.2">
      <c r="A5" s="239" t="s">
        <v>109</v>
      </c>
      <c r="B5" s="239"/>
      <c r="C5" s="239"/>
    </row>
    <row r="6" spans="1:4" s="29" customFormat="1" ht="17" x14ac:dyDescent="0.2">
      <c r="A6" s="166" t="s">
        <v>110</v>
      </c>
      <c r="B6" s="167" t="s">
        <v>111</v>
      </c>
      <c r="C6" s="168" t="s">
        <v>54</v>
      </c>
    </row>
    <row r="7" spans="1:4" ht="16" x14ac:dyDescent="0.2">
      <c r="A7" s="34">
        <v>1</v>
      </c>
      <c r="B7" s="41" t="s">
        <v>177</v>
      </c>
      <c r="C7" s="40">
        <v>1062</v>
      </c>
    </row>
    <row r="8" spans="1:4" ht="16" x14ac:dyDescent="0.2">
      <c r="A8" s="34">
        <v>2</v>
      </c>
      <c r="B8" s="41" t="s">
        <v>201</v>
      </c>
      <c r="C8" s="40">
        <v>21240</v>
      </c>
    </row>
    <row r="9" spans="1:4" ht="16" x14ac:dyDescent="0.2">
      <c r="A9" s="34">
        <v>3</v>
      </c>
      <c r="B9" s="41" t="s">
        <v>440</v>
      </c>
      <c r="C9" s="40">
        <v>2491.5100000000002</v>
      </c>
    </row>
    <row r="10" spans="1:4" x14ac:dyDescent="0.2">
      <c r="A10" s="34">
        <v>4</v>
      </c>
      <c r="B10" s="41"/>
      <c r="C10" s="40">
        <v>0</v>
      </c>
    </row>
    <row r="11" spans="1:4" x14ac:dyDescent="0.2">
      <c r="A11" s="34">
        <v>5</v>
      </c>
      <c r="B11" s="41"/>
      <c r="C11" s="40">
        <v>0</v>
      </c>
    </row>
    <row r="12" spans="1:4" x14ac:dyDescent="0.2">
      <c r="A12" s="34">
        <v>6</v>
      </c>
      <c r="B12" s="41"/>
      <c r="C12" s="40">
        <v>0</v>
      </c>
    </row>
    <row r="13" spans="1:4" x14ac:dyDescent="0.2">
      <c r="A13" s="34">
        <v>7</v>
      </c>
      <c r="B13" s="41"/>
      <c r="C13" s="40">
        <v>0</v>
      </c>
    </row>
    <row r="14" spans="1:4" x14ac:dyDescent="0.2">
      <c r="A14" s="34">
        <v>8</v>
      </c>
      <c r="B14" s="41"/>
      <c r="C14" s="40">
        <v>0</v>
      </c>
    </row>
    <row r="15" spans="1:4" x14ac:dyDescent="0.2">
      <c r="A15" s="34">
        <v>9</v>
      </c>
      <c r="B15" s="41"/>
      <c r="C15" s="40">
        <v>0</v>
      </c>
    </row>
    <row r="16" spans="1:4" x14ac:dyDescent="0.2">
      <c r="A16" s="34">
        <v>10</v>
      </c>
      <c r="B16" s="41"/>
      <c r="C16" s="40">
        <v>0</v>
      </c>
    </row>
    <row r="17" spans="1:3" x14ac:dyDescent="0.2">
      <c r="A17" s="34">
        <v>11</v>
      </c>
      <c r="B17" s="41"/>
      <c r="C17" s="40">
        <v>0</v>
      </c>
    </row>
    <row r="18" spans="1:3" x14ac:dyDescent="0.2">
      <c r="A18" s="34">
        <v>12</v>
      </c>
      <c r="B18" s="41"/>
      <c r="C18" s="40">
        <v>0</v>
      </c>
    </row>
    <row r="19" spans="1:3" x14ac:dyDescent="0.2">
      <c r="A19" s="34">
        <v>13</v>
      </c>
      <c r="B19" s="41"/>
      <c r="C19" s="40">
        <v>0</v>
      </c>
    </row>
    <row r="20" spans="1:3" x14ac:dyDescent="0.2">
      <c r="A20" s="34">
        <v>14</v>
      </c>
      <c r="B20" s="41"/>
      <c r="C20" s="40">
        <v>0</v>
      </c>
    </row>
    <row r="21" spans="1:3" ht="16" x14ac:dyDescent="0.2">
      <c r="A21" s="262" t="s">
        <v>73</v>
      </c>
      <c r="B21" s="262"/>
      <c r="C21" s="169">
        <f>SUM(C7:C20)</f>
        <v>24793.510000000002</v>
      </c>
    </row>
    <row r="22" spans="1:3" s="2" customFormat="1" ht="14" x14ac:dyDescent="0.15">
      <c r="B22" s="155"/>
    </row>
    <row r="23" spans="1:3" s="2" customFormat="1" ht="25" customHeight="1" x14ac:dyDescent="0.15">
      <c r="A23" s="263" t="s">
        <v>112</v>
      </c>
      <c r="B23" s="263"/>
      <c r="C23" s="263"/>
    </row>
  </sheetData>
  <sheetProtection sheet="1" objects="1" scenarios="1"/>
  <mergeCells count="6">
    <mergeCell ref="A2:C2"/>
    <mergeCell ref="A3:C3"/>
    <mergeCell ref="A5:C5"/>
    <mergeCell ref="A21:B21"/>
    <mergeCell ref="A23:C23"/>
    <mergeCell ref="A4:C4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'Consumo - especificação'!$C$5:$C$30</xm:f>
          </x14:formula1>
          <x14:formula2>
            <xm:f>0</xm:f>
          </x14:formula2>
          <xm:sqref>B7:B20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13"/>
  <sheetViews>
    <sheetView zoomScale="130" zoomScaleNormal="130" workbookViewId="0">
      <selection activeCell="B8" sqref="B8"/>
    </sheetView>
  </sheetViews>
  <sheetFormatPr baseColWidth="10" defaultColWidth="8.83203125" defaultRowHeight="15" x14ac:dyDescent="0.2"/>
  <cols>
    <col min="1" max="1" width="11.6640625" style="2" customWidth="1"/>
    <col min="2" max="2" width="15.83203125" style="2" customWidth="1"/>
    <col min="3" max="4" width="19.1640625" style="2" customWidth="1"/>
    <col min="5" max="5" width="17.83203125" style="2" customWidth="1"/>
    <col min="6" max="6" width="23" style="2" customWidth="1"/>
    <col min="7" max="7" width="26.5" style="2" customWidth="1"/>
    <col min="8" max="8" width="17.1640625" style="2" customWidth="1"/>
    <col min="9" max="9" width="16" style="2" customWidth="1"/>
    <col min="10" max="10" width="13.5" style="2" customWidth="1"/>
    <col min="11" max="11" width="16.83203125" style="2" customWidth="1"/>
    <col min="12" max="1024" width="9.1640625" style="2" customWidth="1"/>
  </cols>
  <sheetData>
    <row r="1" spans="1:10" s="29" customFormat="1" ht="15.75" customHeight="1" x14ac:dyDescent="0.2">
      <c r="A1" s="35" t="s">
        <v>79</v>
      </c>
      <c r="C1" s="36"/>
      <c r="D1" s="36"/>
      <c r="E1" s="36"/>
      <c r="F1" s="36"/>
    </row>
    <row r="2" spans="1:10" s="29" customFormat="1" ht="15.75" customHeight="1" x14ac:dyDescent="0.2">
      <c r="A2" s="231" t="s">
        <v>113</v>
      </c>
      <c r="B2" s="231"/>
      <c r="C2" s="231"/>
      <c r="D2" s="231"/>
      <c r="E2" s="231"/>
      <c r="F2" s="231"/>
      <c r="G2" s="231"/>
      <c r="H2" s="231"/>
      <c r="I2" s="231"/>
      <c r="J2" s="231"/>
    </row>
    <row r="3" spans="1:10" s="29" customFormat="1" ht="16" x14ac:dyDescent="0.2">
      <c r="A3" s="261" t="str">
        <f>'Custo do Curso'!B5</f>
        <v>Nome Projeto</v>
      </c>
      <c r="B3" s="261"/>
      <c r="C3" s="261"/>
      <c r="D3" s="261"/>
      <c r="E3" s="261"/>
      <c r="F3" s="261"/>
      <c r="G3" s="261"/>
      <c r="H3" s="261"/>
      <c r="I3" s="261"/>
      <c r="J3" s="261"/>
    </row>
    <row r="4" spans="1:10" s="29" customFormat="1" ht="16" x14ac:dyDescent="0.2">
      <c r="A4" s="235"/>
      <c r="B4" s="236"/>
      <c r="C4" s="236"/>
      <c r="D4" s="236"/>
      <c r="E4" s="236"/>
      <c r="F4" s="236"/>
      <c r="G4" s="236"/>
      <c r="H4" s="236"/>
      <c r="I4" s="236"/>
      <c r="J4" s="237"/>
    </row>
    <row r="5" spans="1:10" ht="18" x14ac:dyDescent="0.2">
      <c r="A5" s="239" t="s">
        <v>114</v>
      </c>
      <c r="B5" s="239"/>
      <c r="C5" s="239"/>
      <c r="D5" s="239"/>
      <c r="E5" s="239"/>
      <c r="F5" s="239"/>
      <c r="G5" s="239"/>
      <c r="H5" s="239"/>
      <c r="I5" s="239"/>
      <c r="J5" s="239"/>
    </row>
    <row r="6" spans="1:10" ht="15" customHeight="1" x14ac:dyDescent="0.2">
      <c r="A6" s="264" t="s">
        <v>115</v>
      </c>
      <c r="B6" s="264" t="s">
        <v>116</v>
      </c>
      <c r="C6" s="265" t="s">
        <v>117</v>
      </c>
      <c r="D6" s="265"/>
      <c r="E6" s="265"/>
      <c r="F6" s="265"/>
      <c r="G6" s="265" t="s">
        <v>118</v>
      </c>
      <c r="H6" s="265"/>
      <c r="I6" s="265"/>
      <c r="J6" s="264" t="s">
        <v>119</v>
      </c>
    </row>
    <row r="7" spans="1:10" ht="55.5" customHeight="1" x14ac:dyDescent="0.2">
      <c r="A7" s="264"/>
      <c r="B7" s="264"/>
      <c r="C7" s="112" t="s">
        <v>120</v>
      </c>
      <c r="D7" s="112" t="s">
        <v>121</v>
      </c>
      <c r="E7" s="112" t="s">
        <v>122</v>
      </c>
      <c r="F7" s="112" t="s">
        <v>123</v>
      </c>
      <c r="G7" s="112" t="s">
        <v>263</v>
      </c>
      <c r="H7" s="112" t="s">
        <v>264</v>
      </c>
      <c r="I7" s="112" t="s">
        <v>265</v>
      </c>
      <c r="J7" s="264"/>
    </row>
    <row r="8" spans="1:10" x14ac:dyDescent="0.2">
      <c r="A8" s="34" t="s">
        <v>405</v>
      </c>
      <c r="B8" s="170">
        <v>1</v>
      </c>
      <c r="C8" s="34">
        <v>20</v>
      </c>
      <c r="D8" s="170">
        <v>12</v>
      </c>
      <c r="E8" s="80">
        <v>787.98</v>
      </c>
      <c r="F8" s="42">
        <f>B8*D8*E8</f>
        <v>9455.76</v>
      </c>
      <c r="G8" s="34">
        <v>22</v>
      </c>
      <c r="H8" s="80">
        <v>10</v>
      </c>
      <c r="I8" s="42">
        <f>B8*D8*G8*H8</f>
        <v>2640</v>
      </c>
      <c r="J8" s="38">
        <f t="shared" ref="J8:J11" si="0">F8+I8</f>
        <v>12095.76</v>
      </c>
    </row>
    <row r="9" spans="1:10" x14ac:dyDescent="0.2">
      <c r="A9" s="34" t="s">
        <v>405</v>
      </c>
      <c r="B9" s="170">
        <v>1</v>
      </c>
      <c r="C9" s="34">
        <v>30</v>
      </c>
      <c r="D9" s="170">
        <v>12</v>
      </c>
      <c r="E9" s="80">
        <v>1125.69</v>
      </c>
      <c r="F9" s="42">
        <f>B9*D9*E9</f>
        <v>13508.28</v>
      </c>
      <c r="G9" s="34">
        <v>22</v>
      </c>
      <c r="H9" s="80">
        <v>10</v>
      </c>
      <c r="I9" s="42">
        <f>B9*D9*G9*H9</f>
        <v>2640</v>
      </c>
      <c r="J9" s="38">
        <f t="shared" si="0"/>
        <v>16148.28</v>
      </c>
    </row>
    <row r="10" spans="1:10" x14ac:dyDescent="0.2">
      <c r="A10" s="34"/>
      <c r="B10" s="34"/>
      <c r="C10" s="34"/>
      <c r="D10" s="34"/>
      <c r="E10" s="80"/>
      <c r="F10" s="42">
        <f>B10*D10*E10</f>
        <v>0</v>
      </c>
      <c r="G10" s="34"/>
      <c r="H10" s="80"/>
      <c r="I10" s="42">
        <f t="shared" ref="I10:I12" si="1">D10*G10*H10</f>
        <v>0</v>
      </c>
      <c r="J10" s="38">
        <f t="shared" si="0"/>
        <v>0</v>
      </c>
    </row>
    <row r="11" spans="1:10" x14ac:dyDescent="0.2">
      <c r="A11" s="34"/>
      <c r="B11" s="34"/>
      <c r="C11" s="34"/>
      <c r="D11" s="34"/>
      <c r="E11" s="80"/>
      <c r="F11" s="42">
        <f>B11*D11*E11</f>
        <v>0</v>
      </c>
      <c r="G11" s="34"/>
      <c r="H11" s="80"/>
      <c r="I11" s="42">
        <f t="shared" si="1"/>
        <v>0</v>
      </c>
      <c r="J11" s="38">
        <f t="shared" si="0"/>
        <v>0</v>
      </c>
    </row>
    <row r="12" spans="1:10" x14ac:dyDescent="0.2">
      <c r="A12" s="34"/>
      <c r="B12" s="34"/>
      <c r="C12" s="34"/>
      <c r="D12" s="34"/>
      <c r="E12" s="80"/>
      <c r="F12" s="42">
        <f>B12*D12*E12</f>
        <v>0</v>
      </c>
      <c r="G12" s="34"/>
      <c r="H12" s="80"/>
      <c r="I12" s="42">
        <f t="shared" si="1"/>
        <v>0</v>
      </c>
      <c r="J12" s="38">
        <f t="shared" ref="J12" si="2">F12+I12</f>
        <v>0</v>
      </c>
    </row>
    <row r="13" spans="1:10" x14ac:dyDescent="0.2">
      <c r="A13" s="265" t="s">
        <v>73</v>
      </c>
      <c r="B13" s="265"/>
      <c r="C13" s="265"/>
      <c r="D13" s="265"/>
      <c r="E13" s="265"/>
      <c r="F13" s="39">
        <f>SUM(F8:F12)</f>
        <v>22964.04</v>
      </c>
      <c r="G13" s="39"/>
      <c r="H13" s="39"/>
      <c r="I13" s="39">
        <f>SUM(I8:I12)</f>
        <v>5280</v>
      </c>
      <c r="J13" s="39">
        <f>SUM(J8:J12)</f>
        <v>28244.04</v>
      </c>
    </row>
  </sheetData>
  <sheetProtection sheet="1" objects="1" scenarios="1"/>
  <mergeCells count="10">
    <mergeCell ref="A13:E13"/>
    <mergeCell ref="A6:A7"/>
    <mergeCell ref="B6:B7"/>
    <mergeCell ref="C6:F6"/>
    <mergeCell ref="G6:I6"/>
    <mergeCell ref="J6:J7"/>
    <mergeCell ref="A2:J2"/>
    <mergeCell ref="A3:J3"/>
    <mergeCell ref="A5:J5"/>
    <mergeCell ref="A4:J4"/>
  </mergeCells>
  <pageMargins left="0.51180555555555496" right="0.51180555555555496" top="0.78749999999999998" bottom="0.78749999999999998" header="0.51180555555555496" footer="0.51180555555555496"/>
  <pageSetup paperSize="9" scale="48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4B13-A32B-5849-83C6-C97171F92C9C}">
  <sheetPr>
    <pageSetUpPr fitToPage="1"/>
  </sheetPr>
  <dimension ref="A2:D12"/>
  <sheetViews>
    <sheetView topLeftCell="A2" zoomScale="130" zoomScaleNormal="130" workbookViewId="0">
      <selection activeCell="A7" sqref="A7"/>
    </sheetView>
  </sheetViews>
  <sheetFormatPr baseColWidth="10" defaultColWidth="10.83203125" defaultRowHeight="15" x14ac:dyDescent="0.2"/>
  <cols>
    <col min="1" max="1" width="75.83203125" customWidth="1"/>
    <col min="2" max="2" width="25.83203125" customWidth="1"/>
    <col min="3" max="3" width="75.83203125" customWidth="1"/>
  </cols>
  <sheetData>
    <row r="2" spans="1:4" ht="16" customHeight="1" x14ac:dyDescent="0.2">
      <c r="A2" s="266" t="s">
        <v>404</v>
      </c>
      <c r="B2" s="267"/>
      <c r="C2" s="268"/>
      <c r="D2" s="36"/>
    </row>
    <row r="3" spans="1:4" ht="16" x14ac:dyDescent="0.2">
      <c r="A3" s="235" t="str">
        <f>'Custo do Curso'!B5</f>
        <v>Nome Projeto</v>
      </c>
      <c r="B3" s="236"/>
      <c r="C3" s="237"/>
      <c r="D3" s="29"/>
    </row>
    <row r="5" spans="1:4" ht="18" x14ac:dyDescent="0.2">
      <c r="A5" s="239" t="s">
        <v>125</v>
      </c>
      <c r="B5" s="239"/>
      <c r="C5" s="239"/>
    </row>
    <row r="6" spans="1:4" ht="34" x14ac:dyDescent="0.2">
      <c r="A6" s="171" t="s">
        <v>126</v>
      </c>
      <c r="B6" s="172" t="s">
        <v>90</v>
      </c>
      <c r="C6" s="171" t="s">
        <v>124</v>
      </c>
    </row>
    <row r="7" spans="1:4" x14ac:dyDescent="0.2">
      <c r="A7" s="79" t="s">
        <v>266</v>
      </c>
      <c r="B7" s="146">
        <f>12*1500</f>
        <v>18000</v>
      </c>
      <c r="C7" s="79" t="s">
        <v>268</v>
      </c>
    </row>
    <row r="8" spans="1:4" x14ac:dyDescent="0.2">
      <c r="A8" s="79" t="s">
        <v>267</v>
      </c>
      <c r="B8" s="146">
        <f>12*2100</f>
        <v>25200</v>
      </c>
      <c r="C8" s="79" t="s">
        <v>268</v>
      </c>
    </row>
    <row r="9" spans="1:4" x14ac:dyDescent="0.2">
      <c r="A9" s="79"/>
      <c r="B9" s="146"/>
      <c r="C9" s="79"/>
    </row>
    <row r="10" spans="1:4" x14ac:dyDescent="0.2">
      <c r="A10" s="79"/>
      <c r="B10" s="146"/>
      <c r="C10" s="79"/>
    </row>
    <row r="11" spans="1:4" x14ac:dyDescent="0.2">
      <c r="A11" s="79"/>
      <c r="B11" s="146"/>
      <c r="C11" s="79"/>
    </row>
    <row r="12" spans="1:4" x14ac:dyDescent="0.2">
      <c r="A12" s="173" t="s">
        <v>97</v>
      </c>
      <c r="B12" s="174">
        <f>SUM(B7:B11)</f>
        <v>43200</v>
      </c>
      <c r="C12" s="175"/>
    </row>
  </sheetData>
  <sheetProtection sheet="1" objects="1" scenarios="1"/>
  <mergeCells count="3">
    <mergeCell ref="A2:C2"/>
    <mergeCell ref="A5:C5"/>
    <mergeCell ref="A3:C3"/>
  </mergeCells>
  <pageMargins left="0.511811024" right="0.511811024" top="0.78740157499999996" bottom="0.78740157499999996" header="0.31496062000000002" footer="0.31496062000000002"/>
  <pageSetup paperSize="9" scale="4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16</vt:i4>
      </vt:variant>
    </vt:vector>
  </HeadingPairs>
  <TitlesOfParts>
    <vt:vector size="31" baseType="lpstr">
      <vt:lpstr>Custo do Curso</vt:lpstr>
      <vt:lpstr>Servidores</vt:lpstr>
      <vt:lpstr>Serviços - PF</vt:lpstr>
      <vt:lpstr>Serviços - PJ</vt:lpstr>
      <vt:lpstr>Investimento</vt:lpstr>
      <vt:lpstr>Diárias e Passagens</vt:lpstr>
      <vt:lpstr>Material de Consumo</vt:lpstr>
      <vt:lpstr>Estagiários</vt:lpstr>
      <vt:lpstr>Bolsas</vt:lpstr>
      <vt:lpstr>Cronograma</vt:lpstr>
      <vt:lpstr>Migrantes</vt:lpstr>
      <vt:lpstr>Descontos</vt:lpstr>
      <vt:lpstr>Valores Referenciais</vt:lpstr>
      <vt:lpstr>Investimento - especificação</vt:lpstr>
      <vt:lpstr>Consumo - especificação</vt:lpstr>
      <vt:lpstr>Bolsas!Area_de_impressao</vt:lpstr>
      <vt:lpstr>'Consumo - especificação'!Area_de_impressao</vt:lpstr>
      <vt:lpstr>Cronograma!Area_de_impressao</vt:lpstr>
      <vt:lpstr>'Custo do Curso'!Area_de_impressao</vt:lpstr>
      <vt:lpstr>Descontos!Area_de_impressao</vt:lpstr>
      <vt:lpstr>'Diárias e Passagens'!Area_de_impressao</vt:lpstr>
      <vt:lpstr>Estagiários!Area_de_impressao</vt:lpstr>
      <vt:lpstr>Investimento!Area_de_impressao</vt:lpstr>
      <vt:lpstr>'Investimento - especificação'!Area_de_impressao</vt:lpstr>
      <vt:lpstr>'Material de Consumo'!Area_de_impressao</vt:lpstr>
      <vt:lpstr>Migrantes!Area_de_impressao</vt:lpstr>
      <vt:lpstr>'Serviços - PF'!Area_de_impressao</vt:lpstr>
      <vt:lpstr>'Serviços - PJ'!Area_de_impressao</vt:lpstr>
      <vt:lpstr>Servidores!Area_de_impressao</vt:lpstr>
      <vt:lpstr>'Valores Referenciais'!Area_de_impressao</vt:lpstr>
      <vt:lpstr>Cronograma!Titulos_de_impressao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Paulo Roberto Ienzura Adriano</dc:creator>
  <cp:keywords/>
  <dc:description/>
  <cp:lastModifiedBy>Microsoft Office User</cp:lastModifiedBy>
  <cp:revision>0</cp:revision>
  <dcterms:created xsi:type="dcterms:W3CDTF">2018-04-13T14:13:12Z</dcterms:created>
  <dcterms:modified xsi:type="dcterms:W3CDTF">2023-05-29T12:02:15Z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